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persons/person.xml" ContentType="application/vnd.ms-excel.person+xml"/>
  <Override PartName="/xl/threadedComments/threadedComment1.xml" ContentType="application/vnd.ms-excel.threadedcomment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827"/>
  <workbookPr/>
  <mc:AlternateContent xmlns:mc="http://schemas.openxmlformats.org/markup-compatibility/2006">
    <mc:Choice Requires="x15">
      <x15ac:absPath xmlns:x15ac="http://schemas.microsoft.com/office/spreadsheetml/2010/11/ac" url="C:\Дудунова\1. ОКРУГ\1. Сессии\4 сессия 05.11.2025\Решения\Р-61\"/>
    </mc:Choice>
  </mc:AlternateContent>
  <xr:revisionPtr revIDLastSave="0" documentId="13_ncr:1_{EA91B2E9-DF63-4636-8F64-F3B594876FA5}" xr6:coauthVersionLast="37" xr6:coauthVersionMax="37" xr10:uidLastSave="{00000000-0000-0000-0000-000000000000}"/>
  <bookViews>
    <workbookView xWindow="0" yWindow="0" windowWidth="24000" windowHeight="9525" activeTab="1" xr2:uid="{00000000-000D-0000-FFFF-FFFF00000000}"/>
  </bookViews>
  <sheets>
    <sheet name="Приложение 2 к Протоколу" sheetId="1" state="hidden" r:id="rId1"/>
    <sheet name="доходы 24,25,26,27 сравнение" sheetId="2" r:id="rId2"/>
    <sheet name="Пояснит" sheetId="3" r:id="rId3"/>
  </sheets>
  <definedNames>
    <definedName name="_xlnm._FilterDatabase" localSheetId="1" hidden="1">'доходы 24,25,26,27 сравнение'!$A$4:$P$139</definedName>
    <definedName name="_xlnm.Print_Area" localSheetId="1">'доходы 24,25,26,27 сравнение'!$A$1:$P$138</definedName>
    <definedName name="_xlnm.Print_Area" localSheetId="2">Пояснит!$A$1:$H$208</definedName>
    <definedName name="_xlnm.Print_Area" localSheetId="0">'Приложение 2 к Протоколу'!$A$1:$T$60</definedName>
  </definedNames>
  <calcPr calcId="179021"/>
</workbook>
</file>

<file path=xl/calcChain.xml><?xml version="1.0" encoding="utf-8"?>
<calcChain xmlns="http://schemas.openxmlformats.org/spreadsheetml/2006/main">
  <c r="D208" i="3" l="1"/>
  <c r="D207" i="3"/>
  <c r="E205" i="3"/>
  <c r="G202" i="3"/>
  <c r="E202" i="3"/>
  <c r="G200" i="3"/>
  <c r="G207" i="3" s="1"/>
  <c r="E200" i="3"/>
  <c r="E207" i="3" s="1"/>
  <c r="G17" i="3" s="1"/>
  <c r="G190" i="3"/>
  <c r="E190" i="3"/>
  <c r="G179" i="3"/>
  <c r="E179" i="3"/>
  <c r="G164" i="3"/>
  <c r="E164" i="3"/>
  <c r="G132" i="3"/>
  <c r="G130" i="3"/>
  <c r="E130" i="3"/>
  <c r="G109" i="3"/>
  <c r="E109" i="3"/>
  <c r="G96" i="3"/>
  <c r="E96" i="3"/>
  <c r="G91" i="3"/>
  <c r="E91" i="3"/>
  <c r="G86" i="3"/>
  <c r="E86" i="3"/>
  <c r="E56" i="3"/>
  <c r="E55" i="3"/>
  <c r="G20" i="3"/>
  <c r="G21" i="3" s="1"/>
  <c r="C20" i="3"/>
  <c r="C21" i="3" s="1"/>
  <c r="G18" i="3"/>
  <c r="G19" i="3" s="1"/>
  <c r="C18" i="3"/>
  <c r="C23" i="3" s="1"/>
  <c r="G14" i="3"/>
  <c r="G23" i="3" s="1"/>
  <c r="C14" i="3"/>
  <c r="G13" i="3"/>
  <c r="C13" i="3"/>
  <c r="G7" i="3"/>
  <c r="C7" i="3"/>
  <c r="G5" i="3"/>
  <c r="G12" i="3" s="1"/>
  <c r="C5" i="3"/>
  <c r="C12" i="3" s="1"/>
  <c r="M137" i="2"/>
  <c r="O136" i="2"/>
  <c r="M136" i="2"/>
  <c r="K136" i="2"/>
  <c r="I136" i="2"/>
  <c r="G136" i="2"/>
  <c r="G135" i="2" s="1"/>
  <c r="P135" i="2"/>
  <c r="O135" i="2" s="1"/>
  <c r="N135" i="2"/>
  <c r="M135" i="2"/>
  <c r="L135" i="2"/>
  <c r="J135" i="2"/>
  <c r="E135" i="2"/>
  <c r="O134" i="2"/>
  <c r="K134" i="2"/>
  <c r="I134" i="2"/>
  <c r="G134" i="2"/>
  <c r="O133" i="2"/>
  <c r="M133" i="2"/>
  <c r="K133" i="2"/>
  <c r="H133" i="2"/>
  <c r="F133" i="2"/>
  <c r="O132" i="2"/>
  <c r="M132" i="2"/>
  <c r="K132" i="2"/>
  <c r="H132" i="2"/>
  <c r="E132" i="2"/>
  <c r="F132" i="2" s="1"/>
  <c r="O131" i="2"/>
  <c r="M131" i="2"/>
  <c r="K131" i="2"/>
  <c r="H131" i="2"/>
  <c r="F131" i="2"/>
  <c r="O130" i="2"/>
  <c r="M130" i="2"/>
  <c r="K130" i="2"/>
  <c r="I130" i="2"/>
  <c r="H130" i="2"/>
  <c r="G130" i="2"/>
  <c r="F130" i="2"/>
  <c r="P129" i="2"/>
  <c r="O129" i="2"/>
  <c r="N129" i="2"/>
  <c r="M129" i="2"/>
  <c r="L129" i="2"/>
  <c r="K129" i="2"/>
  <c r="J129" i="2"/>
  <c r="I129" i="2"/>
  <c r="G129" i="2"/>
  <c r="E129" i="2"/>
  <c r="P128" i="2"/>
  <c r="O128" i="2"/>
  <c r="N128" i="2"/>
  <c r="M128" i="2"/>
  <c r="L128" i="2"/>
  <c r="K128" i="2"/>
  <c r="J128" i="2"/>
  <c r="I128" i="2"/>
  <c r="G128" i="2"/>
  <c r="E128" i="2"/>
  <c r="O127" i="2"/>
  <c r="M127" i="2"/>
  <c r="K127" i="2"/>
  <c r="H127" i="2"/>
  <c r="F127" i="2"/>
  <c r="O126" i="2"/>
  <c r="K126" i="2"/>
  <c r="H126" i="2"/>
  <c r="F126" i="2"/>
  <c r="O125" i="2"/>
  <c r="K125" i="2"/>
  <c r="H125" i="2"/>
  <c r="F125" i="2"/>
  <c r="O124" i="2"/>
  <c r="K124" i="2"/>
  <c r="H124" i="2"/>
  <c r="F124" i="2"/>
  <c r="O123" i="2"/>
  <c r="K123" i="2"/>
  <c r="H123" i="2"/>
  <c r="F123" i="2"/>
  <c r="O122" i="2"/>
  <c r="K122" i="2"/>
  <c r="H122" i="2"/>
  <c r="E122" i="2"/>
  <c r="F122" i="2" s="1"/>
  <c r="P121" i="2"/>
  <c r="O121" i="2"/>
  <c r="N121" i="2"/>
  <c r="M121" i="2"/>
  <c r="L121" i="2"/>
  <c r="K121" i="2"/>
  <c r="J121" i="2"/>
  <c r="I121" i="2"/>
  <c r="G121" i="2"/>
  <c r="E121" i="2"/>
  <c r="P120" i="2"/>
  <c r="O120" i="2"/>
  <c r="N120" i="2"/>
  <c r="M120" i="2"/>
  <c r="L120" i="2"/>
  <c r="K120" i="2"/>
  <c r="J120" i="2"/>
  <c r="I120" i="2"/>
  <c r="G120" i="2"/>
  <c r="E120" i="2"/>
  <c r="E118" i="2" s="1"/>
  <c r="P119" i="2"/>
  <c r="O119" i="2"/>
  <c r="N119" i="2"/>
  <c r="L119" i="2"/>
  <c r="K119" i="2" s="1"/>
  <c r="J119" i="2"/>
  <c r="I119" i="2"/>
  <c r="H119" i="2"/>
  <c r="G119" i="2"/>
  <c r="F119" i="2"/>
  <c r="E119" i="2"/>
  <c r="P118" i="2"/>
  <c r="N118" i="2"/>
  <c r="N40" i="2" s="1"/>
  <c r="N39" i="2" s="1"/>
  <c r="M118" i="2"/>
  <c r="L118" i="2"/>
  <c r="K118" i="2" s="1"/>
  <c r="J118" i="2"/>
  <c r="O117" i="2"/>
  <c r="M117" i="2"/>
  <c r="K117" i="2"/>
  <c r="H117" i="2"/>
  <c r="F117" i="2"/>
  <c r="P116" i="2"/>
  <c r="O116" i="2"/>
  <c r="N116" i="2"/>
  <c r="M116" i="2"/>
  <c r="L116" i="2"/>
  <c r="K116" i="2"/>
  <c r="J116" i="2"/>
  <c r="I116" i="2"/>
  <c r="G116" i="2"/>
  <c r="E116" i="2"/>
  <c r="O115" i="2"/>
  <c r="K115" i="2"/>
  <c r="H115" i="2"/>
  <c r="F115" i="2"/>
  <c r="O114" i="2"/>
  <c r="M114" i="2"/>
  <c r="K114" i="2"/>
  <c r="I114" i="2"/>
  <c r="G114" i="2"/>
  <c r="O113" i="2"/>
  <c r="M113" i="2"/>
  <c r="K113" i="2"/>
  <c r="I113" i="2"/>
  <c r="H113" i="2"/>
  <c r="F113" i="2"/>
  <c r="O112" i="2"/>
  <c r="M112" i="2"/>
  <c r="K112" i="2"/>
  <c r="H112" i="2"/>
  <c r="F112" i="2"/>
  <c r="O111" i="2"/>
  <c r="M111" i="2"/>
  <c r="K111" i="2"/>
  <c r="H111" i="2"/>
  <c r="F111" i="2"/>
  <c r="O110" i="2"/>
  <c r="K110" i="2"/>
  <c r="I110" i="2"/>
  <c r="G110" i="2"/>
  <c r="O109" i="2"/>
  <c r="K109" i="2"/>
  <c r="H109" i="2"/>
  <c r="F109" i="2"/>
  <c r="O108" i="2"/>
  <c r="K108" i="2"/>
  <c r="H108" i="2"/>
  <c r="F108" i="2"/>
  <c r="O107" i="2"/>
  <c r="K107" i="2"/>
  <c r="H107" i="2"/>
  <c r="F107" i="2"/>
  <c r="O106" i="2"/>
  <c r="M106" i="2"/>
  <c r="K106" i="2"/>
  <c r="I106" i="2"/>
  <c r="H106" i="2"/>
  <c r="G106" i="2"/>
  <c r="F106" i="2"/>
  <c r="O105" i="2"/>
  <c r="M105" i="2"/>
  <c r="K105" i="2"/>
  <c r="I105" i="2"/>
  <c r="G105" i="2"/>
  <c r="O104" i="2"/>
  <c r="M104" i="2"/>
  <c r="K104" i="2"/>
  <c r="I104" i="2"/>
  <c r="H104" i="2"/>
  <c r="G104" i="2"/>
  <c r="F104" i="2"/>
  <c r="O103" i="2"/>
  <c r="M103" i="2"/>
  <c r="K103" i="2"/>
  <c r="I103" i="2"/>
  <c r="G103" i="2"/>
  <c r="O102" i="2"/>
  <c r="M102" i="2"/>
  <c r="K102" i="2"/>
  <c r="I102" i="2"/>
  <c r="H102" i="2"/>
  <c r="G102" i="2"/>
  <c r="F102" i="2"/>
  <c r="O101" i="2"/>
  <c r="M101" i="2"/>
  <c r="K101" i="2"/>
  <c r="I101" i="2"/>
  <c r="G101" i="2"/>
  <c r="E101" i="2"/>
  <c r="E97" i="2" s="1"/>
  <c r="E95" i="2" s="1"/>
  <c r="O100" i="2"/>
  <c r="M100" i="2"/>
  <c r="K100" i="2"/>
  <c r="I100" i="2"/>
  <c r="G100" i="2"/>
  <c r="O99" i="2"/>
  <c r="M99" i="2"/>
  <c r="K99" i="2"/>
  <c r="I99" i="2"/>
  <c r="H99" i="2"/>
  <c r="G99" i="2"/>
  <c r="F99" i="2"/>
  <c r="O98" i="2"/>
  <c r="M98" i="2"/>
  <c r="K98" i="2"/>
  <c r="I98" i="2"/>
  <c r="G98" i="2"/>
  <c r="G97" i="2" s="1"/>
  <c r="P97" i="2"/>
  <c r="N97" i="2"/>
  <c r="N95" i="2" s="1"/>
  <c r="M97" i="2"/>
  <c r="L97" i="2"/>
  <c r="J97" i="2"/>
  <c r="J95" i="2" s="1"/>
  <c r="O96" i="2"/>
  <c r="M96" i="2"/>
  <c r="K96" i="2"/>
  <c r="I96" i="2"/>
  <c r="H96" i="2"/>
  <c r="G96" i="2"/>
  <c r="F96" i="2"/>
  <c r="M95" i="2"/>
  <c r="G95" i="2"/>
  <c r="O94" i="2"/>
  <c r="K94" i="2"/>
  <c r="H94" i="2"/>
  <c r="F94" i="2"/>
  <c r="P93" i="2"/>
  <c r="O93" i="2"/>
  <c r="N93" i="2"/>
  <c r="L93" i="2"/>
  <c r="J93" i="2"/>
  <c r="H93" i="2"/>
  <c r="F93" i="2"/>
  <c r="O92" i="2"/>
  <c r="K92" i="2"/>
  <c r="I92" i="2"/>
  <c r="H92" i="2"/>
  <c r="G92" i="2"/>
  <c r="F92" i="2"/>
  <c r="O91" i="2"/>
  <c r="K91" i="2"/>
  <c r="H91" i="2"/>
  <c r="F91" i="2"/>
  <c r="O90" i="2"/>
  <c r="K90" i="2"/>
  <c r="H90" i="2"/>
  <c r="F90" i="2"/>
  <c r="O89" i="2"/>
  <c r="K89" i="2"/>
  <c r="H89" i="2"/>
  <c r="F89" i="2"/>
  <c r="O88" i="2"/>
  <c r="M88" i="2"/>
  <c r="K88" i="2"/>
  <c r="H88" i="2"/>
  <c r="F88" i="2"/>
  <c r="O87" i="2"/>
  <c r="M87" i="2"/>
  <c r="K87" i="2"/>
  <c r="H87" i="2"/>
  <c r="F87" i="2"/>
  <c r="O86" i="2"/>
  <c r="M86" i="2"/>
  <c r="K86" i="2"/>
  <c r="H86" i="2"/>
  <c r="F86" i="2"/>
  <c r="O85" i="2"/>
  <c r="K85" i="2"/>
  <c r="H85" i="2"/>
  <c r="F85" i="2"/>
  <c r="O84" i="2"/>
  <c r="M84" i="2"/>
  <c r="K84" i="2"/>
  <c r="H84" i="2"/>
  <c r="F84" i="2"/>
  <c r="O83" i="2"/>
  <c r="K83" i="2"/>
  <c r="H83" i="2"/>
  <c r="F83" i="2"/>
  <c r="O82" i="2"/>
  <c r="M82" i="2"/>
  <c r="K82" i="2"/>
  <c r="H82" i="2"/>
  <c r="F82" i="2"/>
  <c r="O81" i="2"/>
  <c r="K81" i="2"/>
  <c r="H81" i="2"/>
  <c r="F81" i="2"/>
  <c r="O80" i="2"/>
  <c r="K80" i="2"/>
  <c r="H80" i="2"/>
  <c r="F80" i="2"/>
  <c r="O79" i="2"/>
  <c r="M79" i="2"/>
  <c r="K79" i="2"/>
  <c r="H79" i="2"/>
  <c r="F79" i="2"/>
  <c r="O78" i="2"/>
  <c r="M78" i="2"/>
  <c r="K78" i="2"/>
  <c r="H78" i="2"/>
  <c r="F78" i="2"/>
  <c r="O77" i="2"/>
  <c r="M77" i="2"/>
  <c r="K77" i="2"/>
  <c r="H77" i="2"/>
  <c r="F77" i="2"/>
  <c r="O76" i="2"/>
  <c r="K76" i="2"/>
  <c r="H76" i="2"/>
  <c r="F76" i="2"/>
  <c r="O75" i="2"/>
  <c r="K75" i="2"/>
  <c r="H75" i="2"/>
  <c r="F75" i="2"/>
  <c r="O74" i="2"/>
  <c r="K74" i="2"/>
  <c r="H74" i="2"/>
  <c r="F74" i="2"/>
  <c r="O73" i="2"/>
  <c r="M73" i="2"/>
  <c r="K73" i="2"/>
  <c r="H73" i="2"/>
  <c r="F73" i="2"/>
  <c r="O72" i="2"/>
  <c r="K72" i="2"/>
  <c r="H72" i="2"/>
  <c r="F72" i="2"/>
  <c r="O71" i="2"/>
  <c r="M71" i="2"/>
  <c r="K71" i="2"/>
  <c r="I71" i="2"/>
  <c r="H71" i="2"/>
  <c r="G71" i="2"/>
  <c r="F71" i="2"/>
  <c r="O70" i="2"/>
  <c r="M70" i="2"/>
  <c r="K70" i="2"/>
  <c r="H70" i="2"/>
  <c r="F70" i="2"/>
  <c r="O69" i="2"/>
  <c r="K69" i="2"/>
  <c r="H69" i="2"/>
  <c r="F69" i="2"/>
  <c r="O68" i="2"/>
  <c r="K68" i="2"/>
  <c r="H68" i="2"/>
  <c r="F68" i="2"/>
  <c r="O67" i="2"/>
  <c r="K67" i="2"/>
  <c r="H67" i="2"/>
  <c r="F67" i="2"/>
  <c r="I66" i="2"/>
  <c r="G66" i="2"/>
  <c r="I65" i="2"/>
  <c r="G65" i="2"/>
  <c r="O64" i="2"/>
  <c r="K64" i="2"/>
  <c r="H64" i="2"/>
  <c r="F64" i="2"/>
  <c r="O63" i="2"/>
  <c r="K63" i="2"/>
  <c r="H63" i="2"/>
  <c r="F63" i="2"/>
  <c r="O62" i="2"/>
  <c r="K62" i="2"/>
  <c r="H62" i="2"/>
  <c r="F62" i="2"/>
  <c r="O61" i="2"/>
  <c r="M61" i="2"/>
  <c r="K61" i="2"/>
  <c r="H61" i="2"/>
  <c r="F61" i="2"/>
  <c r="O60" i="2"/>
  <c r="M60" i="2"/>
  <c r="K60" i="2"/>
  <c r="H60" i="2"/>
  <c r="F60" i="2"/>
  <c r="O59" i="2"/>
  <c r="M59" i="2"/>
  <c r="K59" i="2"/>
  <c r="H59" i="2"/>
  <c r="F59" i="2"/>
  <c r="O58" i="2"/>
  <c r="M58" i="2"/>
  <c r="K58" i="2"/>
  <c r="I58" i="2"/>
  <c r="G58" i="2"/>
  <c r="O57" i="2"/>
  <c r="M57" i="2"/>
  <c r="K57" i="2"/>
  <c r="H57" i="2"/>
  <c r="F57" i="2"/>
  <c r="P56" i="2"/>
  <c r="O56" i="2"/>
  <c r="N56" i="2"/>
  <c r="M56" i="2"/>
  <c r="L56" i="2"/>
  <c r="K56" i="2"/>
  <c r="J56" i="2"/>
  <c r="I56" i="2"/>
  <c r="G56" i="2"/>
  <c r="E56" i="2"/>
  <c r="E43" i="2" s="1"/>
  <c r="E40" i="2" s="1"/>
  <c r="E39" i="2" s="1"/>
  <c r="O55" i="2"/>
  <c r="M55" i="2"/>
  <c r="K55" i="2"/>
  <c r="H55" i="2"/>
  <c r="F55" i="2"/>
  <c r="P54" i="2"/>
  <c r="O54" i="2" s="1"/>
  <c r="N54" i="2"/>
  <c r="M54" i="2"/>
  <c r="L54" i="2"/>
  <c r="J54" i="2"/>
  <c r="I54" i="2"/>
  <c r="H54" i="2"/>
  <c r="G54" i="2"/>
  <c r="F54" i="2"/>
  <c r="E54" i="2"/>
  <c r="P53" i="2"/>
  <c r="O53" i="2" s="1"/>
  <c r="N53" i="2"/>
  <c r="M53" i="2"/>
  <c r="L53" i="2"/>
  <c r="J53" i="2"/>
  <c r="I53" i="2"/>
  <c r="H53" i="2"/>
  <c r="G53" i="2"/>
  <c r="F53" i="2"/>
  <c r="E53" i="2"/>
  <c r="O52" i="2"/>
  <c r="K52" i="2"/>
  <c r="H52" i="2"/>
  <c r="F52" i="2"/>
  <c r="O51" i="2"/>
  <c r="K51" i="2"/>
  <c r="H51" i="2"/>
  <c r="F51" i="2"/>
  <c r="O50" i="2"/>
  <c r="M50" i="2"/>
  <c r="K50" i="2"/>
  <c r="H50" i="2"/>
  <c r="F50" i="2"/>
  <c r="O49" i="2"/>
  <c r="M49" i="2"/>
  <c r="K49" i="2"/>
  <c r="I49" i="2"/>
  <c r="G49" i="2"/>
  <c r="G43" i="2" s="1"/>
  <c r="O48" i="2"/>
  <c r="M48" i="2"/>
  <c r="K48" i="2"/>
  <c r="H48" i="2"/>
  <c r="F48" i="2"/>
  <c r="O47" i="2"/>
  <c r="M47" i="2"/>
  <c r="K47" i="2"/>
  <c r="H47" i="2"/>
  <c r="F47" i="2"/>
  <c r="O46" i="2"/>
  <c r="M46" i="2"/>
  <c r="K46" i="2"/>
  <c r="I46" i="2"/>
  <c r="H46" i="2"/>
  <c r="G46" i="2"/>
  <c r="F46" i="2"/>
  <c r="O45" i="2"/>
  <c r="K45" i="2"/>
  <c r="H45" i="2"/>
  <c r="F45" i="2"/>
  <c r="O44" i="2"/>
  <c r="M44" i="2"/>
  <c r="K44" i="2"/>
  <c r="H44" i="2"/>
  <c r="F44" i="2"/>
  <c r="P43" i="2"/>
  <c r="O43" i="2" s="1"/>
  <c r="N43" i="2"/>
  <c r="M43" i="2"/>
  <c r="L43" i="2"/>
  <c r="J43" i="2"/>
  <c r="J40" i="2" s="1"/>
  <c r="J39" i="2" s="1"/>
  <c r="O42" i="2"/>
  <c r="M42" i="2"/>
  <c r="K42" i="2"/>
  <c r="H42" i="2"/>
  <c r="F42" i="2"/>
  <c r="P41" i="2"/>
  <c r="O41" i="2"/>
  <c r="N41" i="2"/>
  <c r="M41" i="2"/>
  <c r="L41" i="2"/>
  <c r="K41" i="2"/>
  <c r="J41" i="2"/>
  <c r="I41" i="2"/>
  <c r="H41" i="2" s="1"/>
  <c r="G41" i="2"/>
  <c r="E41" i="2"/>
  <c r="M40" i="2"/>
  <c r="M39" i="2"/>
  <c r="O38" i="2"/>
  <c r="M38" i="2"/>
  <c r="K38" i="2"/>
  <c r="I38" i="2"/>
  <c r="H38" i="2" s="1"/>
  <c r="G38" i="2"/>
  <c r="O37" i="2"/>
  <c r="K37" i="2"/>
  <c r="H37" i="2"/>
  <c r="F37" i="2"/>
  <c r="O36" i="2"/>
  <c r="M36" i="2"/>
  <c r="K36" i="2"/>
  <c r="I36" i="2"/>
  <c r="H36" i="2"/>
  <c r="G36" i="2"/>
  <c r="F36" i="2"/>
  <c r="O35" i="2"/>
  <c r="M35" i="2"/>
  <c r="K35" i="2"/>
  <c r="H35" i="2"/>
  <c r="F35" i="2"/>
  <c r="P34" i="2"/>
  <c r="O34" i="2" s="1"/>
  <c r="N34" i="2"/>
  <c r="M34" i="2"/>
  <c r="L34" i="2"/>
  <c r="K34" i="2" s="1"/>
  <c r="J34" i="2"/>
  <c r="I34" i="2"/>
  <c r="H34" i="2"/>
  <c r="G34" i="2"/>
  <c r="F34" i="2"/>
  <c r="E34" i="2"/>
  <c r="O33" i="2"/>
  <c r="M33" i="2"/>
  <c r="K33" i="2"/>
  <c r="I33" i="2"/>
  <c r="H33" i="2"/>
  <c r="G33" i="2"/>
  <c r="F33" i="2"/>
  <c r="O32" i="2"/>
  <c r="M32" i="2"/>
  <c r="K32" i="2"/>
  <c r="H32" i="2"/>
  <c r="F32" i="2"/>
  <c r="O31" i="2"/>
  <c r="M31" i="2"/>
  <c r="K31" i="2"/>
  <c r="H31" i="2"/>
  <c r="F31" i="2"/>
  <c r="P30" i="2"/>
  <c r="O30" i="2"/>
  <c r="N30" i="2"/>
  <c r="M30" i="2"/>
  <c r="L30" i="2"/>
  <c r="K30" i="2"/>
  <c r="J30" i="2"/>
  <c r="I30" i="2"/>
  <c r="H30" i="2" s="1"/>
  <c r="G30" i="2"/>
  <c r="E30" i="2"/>
  <c r="E20" i="2" s="1"/>
  <c r="O29" i="2"/>
  <c r="M29" i="2"/>
  <c r="K29" i="2"/>
  <c r="I29" i="2"/>
  <c r="H29" i="2" s="1"/>
  <c r="G29" i="2"/>
  <c r="G28" i="2" s="1"/>
  <c r="P28" i="2"/>
  <c r="O28" i="2" s="1"/>
  <c r="N28" i="2"/>
  <c r="M28" i="2"/>
  <c r="L28" i="2"/>
  <c r="K28" i="2" s="1"/>
  <c r="J28" i="2"/>
  <c r="E28" i="2"/>
  <c r="O27" i="2"/>
  <c r="M27" i="2"/>
  <c r="K27" i="2"/>
  <c r="H27" i="2"/>
  <c r="F27" i="2"/>
  <c r="O26" i="2"/>
  <c r="M26" i="2"/>
  <c r="K26" i="2"/>
  <c r="H26" i="2"/>
  <c r="F26" i="2"/>
  <c r="O25" i="2"/>
  <c r="M25" i="2"/>
  <c r="K25" i="2"/>
  <c r="H25" i="2"/>
  <c r="F25" i="2"/>
  <c r="O24" i="2"/>
  <c r="M24" i="2"/>
  <c r="K24" i="2"/>
  <c r="H24" i="2"/>
  <c r="F24" i="2"/>
  <c r="O23" i="2"/>
  <c r="K23" i="2"/>
  <c r="H23" i="2"/>
  <c r="F23" i="2"/>
  <c r="O22" i="2"/>
  <c r="K22" i="2"/>
  <c r="I22" i="2"/>
  <c r="H22" i="2" s="1"/>
  <c r="G22" i="2"/>
  <c r="G21" i="2" s="1"/>
  <c r="G20" i="2" s="1"/>
  <c r="P21" i="2"/>
  <c r="O21" i="2" s="1"/>
  <c r="N21" i="2"/>
  <c r="M21" i="2"/>
  <c r="L21" i="2"/>
  <c r="K21" i="2" s="1"/>
  <c r="J21" i="2"/>
  <c r="E21" i="2"/>
  <c r="P20" i="2"/>
  <c r="O20" i="2" s="1"/>
  <c r="N20" i="2"/>
  <c r="M20" i="2"/>
  <c r="L20" i="2"/>
  <c r="K20" i="2" s="1"/>
  <c r="J20" i="2"/>
  <c r="O19" i="2"/>
  <c r="M19" i="2"/>
  <c r="K19" i="2"/>
  <c r="I19" i="2"/>
  <c r="H19" i="2"/>
  <c r="G19" i="2"/>
  <c r="F19" i="2"/>
  <c r="P18" i="2"/>
  <c r="O18" i="2"/>
  <c r="N18" i="2"/>
  <c r="M18" i="2"/>
  <c r="L18" i="2"/>
  <c r="K18" i="2"/>
  <c r="J18" i="2"/>
  <c r="I18" i="2"/>
  <c r="H18" i="2" s="1"/>
  <c r="G18" i="2"/>
  <c r="E18" i="2"/>
  <c r="O17" i="2"/>
  <c r="M17" i="2"/>
  <c r="K17" i="2"/>
  <c r="H17" i="2"/>
  <c r="F17" i="2"/>
  <c r="P16" i="2"/>
  <c r="O16" i="2" s="1"/>
  <c r="N16" i="2"/>
  <c r="M16" i="2"/>
  <c r="L16" i="2"/>
  <c r="K16" i="2" s="1"/>
  <c r="J16" i="2"/>
  <c r="I16" i="2"/>
  <c r="H16" i="2"/>
  <c r="G16" i="2"/>
  <c r="F16" i="2"/>
  <c r="E16" i="2"/>
  <c r="O15" i="2"/>
  <c r="M15" i="2"/>
  <c r="K15" i="2"/>
  <c r="I15" i="2"/>
  <c r="H15" i="2"/>
  <c r="G15" i="2"/>
  <c r="F15" i="2"/>
  <c r="O14" i="2"/>
  <c r="M14" i="2"/>
  <c r="K14" i="2"/>
  <c r="I14" i="2"/>
  <c r="H14" i="2" s="1"/>
  <c r="G14" i="2"/>
  <c r="G11" i="2" s="1"/>
  <c r="O13" i="2"/>
  <c r="M13" i="2"/>
  <c r="K13" i="2"/>
  <c r="H13" i="2"/>
  <c r="F13" i="2"/>
  <c r="O12" i="2"/>
  <c r="M12" i="2"/>
  <c r="K12" i="2"/>
  <c r="H12" i="2"/>
  <c r="F12" i="2"/>
  <c r="P11" i="2"/>
  <c r="O11" i="2" s="1"/>
  <c r="N11" i="2"/>
  <c r="M11" i="2"/>
  <c r="L11" i="2"/>
  <c r="K11" i="2" s="1"/>
  <c r="J11" i="2"/>
  <c r="E11" i="2"/>
  <c r="O10" i="2"/>
  <c r="M10" i="2"/>
  <c r="K10" i="2"/>
  <c r="H10" i="2"/>
  <c r="F10" i="2"/>
  <c r="P9" i="2"/>
  <c r="O9" i="2"/>
  <c r="N9" i="2"/>
  <c r="M9" i="2"/>
  <c r="L9" i="2"/>
  <c r="K9" i="2"/>
  <c r="J9" i="2"/>
  <c r="I9" i="2"/>
  <c r="H9" i="2" s="1"/>
  <c r="G9" i="2"/>
  <c r="E9" i="2"/>
  <c r="E6" i="2" s="1"/>
  <c r="E5" i="2" s="1"/>
  <c r="E137" i="2" s="1"/>
  <c r="O8" i="2"/>
  <c r="M8" i="2"/>
  <c r="K8" i="2"/>
  <c r="I8" i="2"/>
  <c r="H8" i="2" s="1"/>
  <c r="G8" i="2"/>
  <c r="G7" i="2" s="1"/>
  <c r="G6" i="2" s="1"/>
  <c r="G5" i="2" s="1"/>
  <c r="P7" i="2"/>
  <c r="O7" i="2" s="1"/>
  <c r="N7" i="2"/>
  <c r="M7" i="2"/>
  <c r="L7" i="2"/>
  <c r="K7" i="2" s="1"/>
  <c r="J7" i="2"/>
  <c r="E7" i="2"/>
  <c r="P6" i="2"/>
  <c r="O6" i="2" s="1"/>
  <c r="N6" i="2"/>
  <c r="M6" i="2"/>
  <c r="L6" i="2"/>
  <c r="K6" i="2" s="1"/>
  <c r="J6" i="2"/>
  <c r="P5" i="2"/>
  <c r="N5" i="2"/>
  <c r="M5" i="2"/>
  <c r="L5" i="2"/>
  <c r="J5" i="2"/>
  <c r="T12" i="1"/>
  <c r="S12" i="1"/>
  <c r="R12" i="1"/>
  <c r="Q12" i="1"/>
  <c r="P12" i="1"/>
  <c r="O12" i="1"/>
  <c r="N12" i="1"/>
  <c r="M12" i="1"/>
  <c r="L12" i="1"/>
  <c r="K12" i="1"/>
  <c r="J12" i="1"/>
  <c r="I12" i="1"/>
  <c r="H12" i="1"/>
  <c r="G12" i="1"/>
  <c r="F12" i="1"/>
  <c r="E12" i="1"/>
  <c r="D12" i="1"/>
  <c r="H49" i="2" l="1"/>
  <c r="F49" i="2"/>
  <c r="I43" i="2"/>
  <c r="H56" i="2"/>
  <c r="F56" i="2"/>
  <c r="H66" i="2"/>
  <c r="F66" i="2"/>
  <c r="K5" i="2"/>
  <c r="O5" i="2"/>
  <c r="I7" i="2"/>
  <c r="F8" i="2"/>
  <c r="F9" i="2"/>
  <c r="I11" i="2"/>
  <c r="F14" i="2"/>
  <c r="F18" i="2"/>
  <c r="I21" i="2"/>
  <c r="F22" i="2"/>
  <c r="I28" i="2"/>
  <c r="F29" i="2"/>
  <c r="F30" i="2"/>
  <c r="F38" i="2"/>
  <c r="F41" i="2"/>
  <c r="K43" i="2"/>
  <c r="K53" i="2"/>
  <c r="K54" i="2"/>
  <c r="K93" i="2"/>
  <c r="K97" i="2"/>
  <c r="L95" i="2"/>
  <c r="O118" i="2"/>
  <c r="G118" i="2"/>
  <c r="G40" i="2" s="1"/>
  <c r="G39" i="2" s="1"/>
  <c r="G137" i="2" s="1"/>
  <c r="H128" i="2"/>
  <c r="F128" i="2"/>
  <c r="H129" i="2"/>
  <c r="F129" i="2"/>
  <c r="K135" i="2"/>
  <c r="J137" i="2"/>
  <c r="N137" i="2"/>
  <c r="H58" i="2"/>
  <c r="F58" i="2"/>
  <c r="H65" i="2"/>
  <c r="F65" i="2"/>
  <c r="O97" i="2"/>
  <c r="P95" i="2"/>
  <c r="O95" i="2" s="1"/>
  <c r="H98" i="2"/>
  <c r="F98" i="2"/>
  <c r="I97" i="2"/>
  <c r="H100" i="2"/>
  <c r="F100" i="2"/>
  <c r="H101" i="2"/>
  <c r="F101" i="2"/>
  <c r="H103" i="2"/>
  <c r="F103" i="2"/>
  <c r="H105" i="2"/>
  <c r="F105" i="2"/>
  <c r="H110" i="2"/>
  <c r="F110" i="2"/>
  <c r="H114" i="2"/>
  <c r="F114" i="2"/>
  <c r="H116" i="2"/>
  <c r="F116" i="2"/>
  <c r="H120" i="2"/>
  <c r="F120" i="2"/>
  <c r="I118" i="2"/>
  <c r="H121" i="2"/>
  <c r="F121" i="2"/>
  <c r="H134" i="2"/>
  <c r="F134" i="2"/>
  <c r="H136" i="2"/>
  <c r="F136" i="2"/>
  <c r="I135" i="2"/>
  <c r="C19" i="3"/>
  <c r="C55" i="3" l="1"/>
  <c r="C16" i="3"/>
  <c r="C22" i="3" s="1"/>
  <c r="F97" i="2"/>
  <c r="H97" i="2"/>
  <c r="I95" i="2"/>
  <c r="K95" i="2"/>
  <c r="L40" i="2"/>
  <c r="H11" i="2"/>
  <c r="F11" i="2"/>
  <c r="I40" i="2"/>
  <c r="H43" i="2"/>
  <c r="F43" i="2"/>
  <c r="F135" i="2"/>
  <c r="H135" i="2"/>
  <c r="H118" i="2"/>
  <c r="F118" i="2"/>
  <c r="P40" i="2"/>
  <c r="F28" i="2"/>
  <c r="H28" i="2"/>
  <c r="H21" i="2"/>
  <c r="I20" i="2"/>
  <c r="F21" i="2"/>
  <c r="F7" i="2"/>
  <c r="I6" i="2"/>
  <c r="H7" i="2"/>
  <c r="F6" i="2" l="1"/>
  <c r="I5" i="2"/>
  <c r="H6" i="2"/>
  <c r="I39" i="2"/>
  <c r="H40" i="2"/>
  <c r="F40" i="2"/>
  <c r="F20" i="2"/>
  <c r="H20" i="2"/>
  <c r="P39" i="2"/>
  <c r="O40" i="2"/>
  <c r="L39" i="2"/>
  <c r="K40" i="2"/>
  <c r="H95" i="2"/>
  <c r="F95" i="2"/>
  <c r="H39" i="2" l="1"/>
  <c r="F39" i="2"/>
  <c r="D3" i="3"/>
  <c r="I137" i="2"/>
  <c r="F5" i="2"/>
  <c r="H5" i="2"/>
  <c r="K39" i="2"/>
  <c r="L137" i="2"/>
  <c r="K137" i="2" s="1"/>
  <c r="O39" i="2"/>
  <c r="P137" i="2"/>
  <c r="O137" i="2" s="1"/>
  <c r="D55" i="3" l="1"/>
  <c r="G55" i="3" s="1"/>
  <c r="G16" i="3"/>
  <c r="G22" i="3" s="1"/>
  <c r="H23" i="3" s="1"/>
  <c r="H137" i="2"/>
  <c r="F137" i="2"/>
  <c r="G205" i="3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tc={003A0020-00A3-4AF7-BE03-007000120083}</author>
    <author>tc={00AE0053-001D-4C80-9AFC-00D4009F0028}</author>
  </authors>
  <commentList>
    <comment ref="B22" authorId="0" shapeId="0" xr:uid="{003A0020-00A3-4AF7-BE03-007000120083}">
      <text/>
    </comment>
    <comment ref="E22" authorId="1" shapeId="0" xr:uid="{00AE0053-001D-4C80-9AFC-00D4009F0028}">
      <text/>
    </comment>
  </commentList>
</comments>
</file>

<file path=xl/sharedStrings.xml><?xml version="1.0" encoding="utf-8"?>
<sst xmlns="http://schemas.openxmlformats.org/spreadsheetml/2006/main" count="1232" uniqueCount="497">
  <si>
    <t>Дополнительные расходы местных бюджетов на очередной год, которые возникнут в связи с планируемым увеличением сети и штатов, а также вводом новых муниципальных учреждений в очередном году.</t>
  </si>
  <si>
    <t>тыс.рублей</t>
  </si>
  <si>
    <t>Наименование учреждения (в соответствии с уставом без сокращений)</t>
  </si>
  <si>
    <t>ВСЕГО расходов по исполнению собственных полномочий (тыс.рублей)</t>
  </si>
  <si>
    <t>в том числе:</t>
  </si>
  <si>
    <t>обязательные расходы</t>
  </si>
  <si>
    <t>Справочно</t>
  </si>
  <si>
    <t>Оплата труда и начисления на оплату труда</t>
  </si>
  <si>
    <t>Оплата коммунальных услуг</t>
  </si>
  <si>
    <t>Приобретение топлива *</t>
  </si>
  <si>
    <t>Арендная плата за пользование имуществом</t>
  </si>
  <si>
    <t>Питание</t>
  </si>
  <si>
    <t>Медикаменты</t>
  </si>
  <si>
    <t>Горюче-смазочные материалы **</t>
  </si>
  <si>
    <t>Уплата налогов, госпошлины и сборов, разного рода платежей в бюджеты всех уровней</t>
  </si>
  <si>
    <t xml:space="preserve">Оплата услуг связи и интернета </t>
  </si>
  <si>
    <t xml:space="preserve">Оплата транспортных расходов в части подвоза учащихся </t>
  </si>
  <si>
    <t xml:space="preserve">Оплата услуг охраны </t>
  </si>
  <si>
    <t xml:space="preserve">Обслуживание программных продуктов </t>
  </si>
  <si>
    <t xml:space="preserve">Содержание имущества </t>
  </si>
  <si>
    <t>Капитальный ремонт, реконструкция и строительство</t>
  </si>
  <si>
    <t>Прочие</t>
  </si>
  <si>
    <t>Дата ввода новой сети</t>
  </si>
  <si>
    <t>Баганский</t>
  </si>
  <si>
    <t>Итого Сузунский район</t>
  </si>
  <si>
    <t>-</t>
  </si>
  <si>
    <t>Верх-Сузунский сельсовет</t>
  </si>
  <si>
    <t>администрация Верх-Сузунского сельсовета Сузунского района Новосибирской области</t>
  </si>
  <si>
    <t>Сузунский район Новосибирской области</t>
  </si>
  <si>
    <t>администрация Сузунского района</t>
  </si>
  <si>
    <t>Муниципальное бюджетное общеобразовательное учреждение Сузунского района "Сузунская средняя общеобразовательная школа №1"</t>
  </si>
  <si>
    <t>01.01.2021</t>
  </si>
  <si>
    <t>Муниципальное казённое общеобразовательное учреждение Сузунского района "Сузунская средняя общеобразовательная школа №2"</t>
  </si>
  <si>
    <t>Муниципальное казённое общеобразовательное учреждение Сузунского района "Сузунская средняя общеобразовательная школа №301 им.В.А.Левина"</t>
  </si>
  <si>
    <t>Муниципальное казённое общеобразовательное учреждение Сузунского района "Битковская средняя общеобразовательная школа"</t>
  </si>
  <si>
    <t>Муниципальное казённое общеобразовательное учреждение Сузунского района "Бобровская средняя общеобразовательная школа"</t>
  </si>
  <si>
    <t>Муниципальное казённое общеобразовательное учреждение Сузунского района "Болтовская средняя общеобразовательная школа"</t>
  </si>
  <si>
    <t>Муниципальное казённое общеобразовательное учреждение Сузунского района "Верх-Сузунская средняя общеобразовательная школа"</t>
  </si>
  <si>
    <t>Муниципальное казённое общеобразовательное учреждение Сузунского района "Заковряжинская средняя общеобразовательная школа"</t>
  </si>
  <si>
    <t>Муниципальное казённое общеобразовательное учреждение Сузунского района "Каргаполовская средняя общеобразовательная школа"</t>
  </si>
  <si>
    <t>Муниципальное казённое общеобразовательное учреждение Сузунского района "Ключиковская средняя общеобразовательная школа"</t>
  </si>
  <si>
    <t>Муниципальное казённое общеобразовательное учреждение Сузунского района "Малышевская средняя общеобразовательная школа"</t>
  </si>
  <si>
    <t>Муниципальное казённое общеобразовательное учреждение Сузунского района "Маюровская средняя общеобразовательная школа"</t>
  </si>
  <si>
    <t>Муниципальное казённое общеобразовательное учреждение Сузунского района "Меретская средняя общеобразовательная школа"</t>
  </si>
  <si>
    <t>Муниципальное казённое общеобразовательное учреждение Сузунского района "Мышланская средняя общеобразовательная школа"</t>
  </si>
  <si>
    <t>Муниципальное казённое общеобразовательное учреждение Сузунского района "Холодновская основная общеобразовательная школа"</t>
  </si>
  <si>
    <t>Муниципальное казённое общеобразовательное учреждение Сузунского района "Шайдуровская средняя общеобразовательная школа имени Героя Советского Союза Г.И. Выглазова"</t>
  </si>
  <si>
    <t>Муниципальное казённое общеобразовательное учреждение Сузунского района "Шарчинская средняя общеобразовательная школа"</t>
  </si>
  <si>
    <t>Муниципальное казённое общеобразовательное учреждение Сузунского района "Шипуновская средняя общеобразовательная школа имени В.С.Гаврилова"</t>
  </si>
  <si>
    <t>Муниципальное казённое дошкольное образовательное учреждение Сузунского района "Сузунский детский сад №1"</t>
  </si>
  <si>
    <t>Муниципальное казённое дошкольное образовательное учреждение Сузунского района "Сузунский детский сад №2"</t>
  </si>
  <si>
    <t>Муниципальное казённое дошкольное образовательное учреждение Сузунского района "Сузунский детский сад №3"</t>
  </si>
  <si>
    <t>Муниципальное казённое дошкольное образовательное учреждение Сузунского района "Сузунский детский сад №4"</t>
  </si>
  <si>
    <t>Муниципальное казённое дошкольное образовательное учреждение Сузунского района "Сузунский детский сад №5"</t>
  </si>
  <si>
    <t>Муниципальное казённое дошкольное образовательное учреждение Сузунского района "Бобровский детский сад"</t>
  </si>
  <si>
    <t>Муниципальное казённое дошкольное образовательное учреждение Сузунского района "Болтовский детский сад"</t>
  </si>
  <si>
    <t>Муниципальное казённое дошкольное образовательное учреждение Сузунского района "Заковряжинский детский сад"</t>
  </si>
  <si>
    <t>Муниципальное казённое дошкольное образовательное учреждение Сузунского района "Ключиковский детский сад"</t>
  </si>
  <si>
    <t>Муниципальное казённое дошкольное образовательное учреждение Сузунского района "Шайдуровский детский сад"</t>
  </si>
  <si>
    <t>Муниципальное казённое дошкольное образовательное учреждение Сузунского района "Шипуновский детский сад"</t>
  </si>
  <si>
    <t>Муниципальное казённое учреждение дополнительного образования "Детский оздоровительно-образовательный центр "Патриот"</t>
  </si>
  <si>
    <t>Муниципальное бюджетное учреждение дополнительного образования Сузунского района "Дом детского творчества"</t>
  </si>
  <si>
    <t>Муниципальное казенное учреждение Сузунского района "Единый центр бухгалтерских услуг"</t>
  </si>
  <si>
    <t>Муниципальное казённое учреждение культуры Сузунского района "Культурно-досуговое объединение"</t>
  </si>
  <si>
    <t>08.08.2020</t>
  </si>
  <si>
    <t>Муниципальное казённое учреждение культуры Сузунского района "Сузунская централизованная библиотечная система"</t>
  </si>
  <si>
    <t>Муниципальное казённое учреждение Сузунского района "Управление автомобильного транспорта"</t>
  </si>
  <si>
    <t>Муниципальное казённое учреждение Сузунского района "Центр закупок"</t>
  </si>
  <si>
    <t>Муниципальное казенное учреждение культуры Сузунского района "Управление культуры, спорта, туризма и молодежной политики"</t>
  </si>
  <si>
    <t>Муниципальное бюджетное учреждение Сузунского района "Управление муниципальным имуществом и обеспечение хозяйственной деятельностью"</t>
  </si>
  <si>
    <t>Муниципальное автономное учреждение Сузунского района "Управление лесного хозяйства и благоустройства"</t>
  </si>
  <si>
    <t>Муниципальное казенное учреждение "Управление образованием Сузунского района"</t>
  </si>
  <si>
    <t>Итого по бюджету муниципальных районов</t>
  </si>
  <si>
    <t>Итого по отчету</t>
  </si>
  <si>
    <t>Глава Сузунского района</t>
  </si>
  <si>
    <t>_________________</t>
  </si>
  <si>
    <t>Некрасова Лилия Владимировна</t>
  </si>
  <si>
    <t>И.о.главы р.п.Сузун</t>
  </si>
  <si>
    <t>Дементьев Евгениий Иванович</t>
  </si>
  <si>
    <t>(подпись)</t>
  </si>
  <si>
    <t>(Ф.И.О.)</t>
  </si>
  <si>
    <t>Доходная часть бюджета Сузунского района на 2021-2023 год</t>
  </si>
  <si>
    <t>Бюджет  на 2025  год и плановый период  2026 и 2027 годов</t>
  </si>
  <si>
    <t>Наименование групп, подгрупп, статей и подстатей доходов</t>
  </si>
  <si>
    <t xml:space="preserve">ТИП СРЕДСТВ </t>
  </si>
  <si>
    <t>код цели</t>
  </si>
  <si>
    <t>2025 год          (второе чтение)</t>
  </si>
  <si>
    <t>отклонение плана 2025 года (первое чтение от второго)</t>
  </si>
  <si>
    <t>2025 год (3 сессия)</t>
  </si>
  <si>
    <t>Изменения</t>
  </si>
  <si>
    <t>2025 год (4 сессия)</t>
  </si>
  <si>
    <t>2026 год (3 сессия)</t>
  </si>
  <si>
    <t>2026 год (4 сессия)</t>
  </si>
  <si>
    <t>отклонение 2024 от 2023 (первонач)</t>
  </si>
  <si>
    <t>2027 год (3 сессия)</t>
  </si>
  <si>
    <t>2027 год (4 сессия)</t>
  </si>
  <si>
    <t xml:space="preserve"> 1 00 00000 00 0000 000</t>
  </si>
  <si>
    <t>НАЛОГОВЫЕ И НЕНАЛОГОВЫЕ   ДОХОДЫ</t>
  </si>
  <si>
    <t>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</si>
  <si>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</si>
  <si>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</si>
  <si>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</si>
  <si>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</si>
  <si>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1 03 00000 00 0000 000</t>
  </si>
  <si>
    <t>Налоги на товары (работы,услуги), реализуемые на территории Российской Федерации</t>
  </si>
  <si>
    <t>1 03 02000 01 0000 110</t>
  </si>
  <si>
    <t>Акцизы по подакцизным товарам (продукции), производимым на территории Российской Федерации</t>
  </si>
  <si>
    <t>1 05 00000 00 0000 000</t>
  </si>
  <si>
    <t>Налоги на совокупный доход</t>
  </si>
  <si>
    <t>1 05 01000 02 0000 110</t>
  </si>
  <si>
    <t>Налог, взимаемый в связи  с  применением  упрощенной системы    налогообложения</t>
  </si>
  <si>
    <t>1 05 02000 02 0000 110</t>
  </si>
  <si>
    <t>Единый налог на вмененный доход для отдельных видов деятельности</t>
  </si>
  <si>
    <t>1 05 03000 01 0000 110</t>
  </si>
  <si>
    <t>Единый сельскохозяйственный налог</t>
  </si>
  <si>
    <t>1 05 04000 01 0000 110</t>
  </si>
  <si>
    <t xml:space="preserve">Налог, взимаемый в связи  с  применением  патентной    системы    налогообложения, зачисляемый  в   бюджеты   муниципальных районов
</t>
  </si>
  <si>
    <t>1 06 00000 00 0000 000</t>
  </si>
  <si>
    <t>Транспортный налог</t>
  </si>
  <si>
    <t>1 06 04000 02 0000 110</t>
  </si>
  <si>
    <t xml:space="preserve">1 08 00000 00 0000 000 </t>
  </si>
  <si>
    <t>Государственная пошлина</t>
  </si>
  <si>
    <t xml:space="preserve">1 08 03010 01 0000 110 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</si>
  <si>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</si>
  <si>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НЕНАЛОГОВЫЕ ДОХОДЫ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</si>
  <si>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</si>
  <si>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</si>
  <si>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11105013050000120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</si>
  <si>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</si>
  <si>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11105013130000120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</si>
  <si>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поселений, а также средства от продажи права на заключение договоров аренды указанных земельных участков</t>
  </si>
  <si>
    <t>1 11 05025 05 0000 120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</si>
  <si>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</si>
  <si>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1 11 05075 05 0000 120</t>
  </si>
  <si>
    <t>Доходы от сдачи в аренду имущества, составляющего казну сельских поселений (за исключением земельных участков)</t>
  </si>
  <si>
    <t>1 11 07015 05 0000 120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</si>
  <si>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</si>
  <si>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>1 11 09045 05 0000 120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</si>
  <si>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</si>
  <si>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1 12 00000 00 0000 000</t>
  </si>
  <si>
    <t>Платежи при пользовании природными ресурсами</t>
  </si>
  <si>
    <t>1 12 01000 01 0000 120</t>
  </si>
  <si>
    <t>Плата за негативное воздействие на окружающую среду</t>
  </si>
  <si>
    <t>1 13 00000 00 0000 000</t>
  </si>
  <si>
    <t>Доходы от оказания платных услуг (работ) и компенсации затрат государства</t>
  </si>
  <si>
    <t>1 13 01995 05 0000 130</t>
  </si>
  <si>
    <t xml:space="preserve">Прочие доходы от оказания платных услуг (работ) получателями средств бюджетов муниципальных районов </t>
  </si>
  <si>
    <t>1 13 02065 05 0000 130</t>
  </si>
  <si>
    <t>Доходы, поступающие в качестве возмещения расходов, понесенных в всязи с эксплуатацией имущества</t>
  </si>
  <si>
    <t>1 13 02995 05 0000 130</t>
  </si>
  <si>
    <t>Прочие доходы от компенсации затрат бюджетов муниципальных районов</t>
  </si>
  <si>
    <t>1 14 00000 00 0000 000</t>
  </si>
  <si>
    <t>Доходы от продажи материальных и нематериальных активов</t>
  </si>
  <si>
    <t xml:space="preserve">1 14 02053 05 0000 410
</t>
  </si>
  <si>
    <t>Доходы от реализации имущества, находящегося в государственной и муниципальной собственности (за исключением имущества бюджетных и  автономных учреждений, а также имущества государственных и муниципальных унитарных предприятий, в том числе казенных)</t>
  </si>
  <si>
    <t xml:space="preserve">1 14 06013 00 0000 430
</t>
  </si>
  <si>
    <t>Доходы от продажи земельных участков, государственная собственность на которые не разграничена и которые расположены в границах поселений</t>
  </si>
  <si>
    <t>1 14 06013 13 0000 430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</si>
  <si>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</si>
  <si>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1 16 00000 00 0000 000</t>
  </si>
  <si>
    <t>Штрафы,санкции, возмещение ущерба</t>
  </si>
  <si>
    <t xml:space="preserve">2 00 00000 00 0000 000 </t>
  </si>
  <si>
    <t xml:space="preserve">БЕЗВОЗМЕЗДНЫЕ ПОСТУПЛЕНИЯ   </t>
  </si>
  <si>
    <t>2 02 00000 00 0000 000</t>
  </si>
  <si>
    <t>Безвозмездные поступления от других бюджетов бюджетной системы Российской Федерации</t>
  </si>
  <si>
    <t>2 02 15000 00 0000 150</t>
  </si>
  <si>
    <t xml:space="preserve">Дотации на выравнивание бюджетной обеспеченности муниципальных районов  </t>
  </si>
  <si>
    <t>2 02 15001 05 0000 150</t>
  </si>
  <si>
    <t xml:space="preserve">Дотации из областного бюджета на выравнивание бюджетной обеспеченности муниципальных районов (городских округов) Новосибирской области </t>
  </si>
  <si>
    <t>01.01.00.</t>
  </si>
  <si>
    <t>2 02 20000 00 0000 150</t>
  </si>
  <si>
    <t>Субсидии бюджетам субъектов Российской Федерации и муниципальных образований (межбюджетные субсидии) в т.ч.:</t>
  </si>
  <si>
    <t xml:space="preserve">2 02 20077 05 0000 150
</t>
  </si>
  <si>
    <t>Субсидии на реализацию мероприятий по защите территорий населенных пунктов Новосибирской области от подтопления и затопления государственной программы Новосибирской области "Охрана окружающей среды"</t>
  </si>
  <si>
    <t>01.22.24</t>
  </si>
  <si>
    <t>25-70870-00000-00000</t>
  </si>
  <si>
    <t>Субсидии на строительство (приобретение на первичном рынке) служебного жилья государственной программы Новосибирской области "Стимулирование развития жилищного строительства в Новосибирской области"</t>
  </si>
  <si>
    <t>01.22.18</t>
  </si>
  <si>
    <t>24-70650-00000-00000</t>
  </si>
  <si>
    <t>Субсидии на реализацию мероприятий по строительству и реконструкции объектов централизованных систем холодного водоснабжения и водоотведения государственной программы Новосибирской области "Жилищно-коммунальное хозяйство Новосибирской области" (строительство и реконструкция объектов централизованных систем холодного водоснабжения)</t>
  </si>
  <si>
    <t>01.22.35</t>
  </si>
  <si>
    <t>25-70640-00000-00000</t>
  </si>
  <si>
    <t>Субсидии на оплату расходов, связанных со строительством специализированного жилищного фонда для предоставления отдельным категориям граждан, государственной программы Новосибирской области "Стимулирование развития жилищного строительства в Новосибирской области"</t>
  </si>
  <si>
    <t>01.22.20</t>
  </si>
  <si>
    <t>Субсидии на на реализацию мероприятий
по строительству и реконструкции объектов централизованных
систем холодного водоснабжения и водоотведения подпрограммы
"Чистая вода" государственной программы Новосибирской
области "Жилищно-коммунальное хозяйство Новосибирской
области" (Строительство и реконструкция объектов централизованных систем водоотведения)</t>
  </si>
  <si>
    <t>01.22.52</t>
  </si>
  <si>
    <t>2 02 20216 05 0000 150</t>
  </si>
  <si>
    <t>Субсидии на реализацию мероприятий по устойчивому функционированию автомобильных дорог местного значения и искусственных сооружений на них государственной программы Новосибирской области "Развитие автомобильных дорог регионального, межмуниципального и местного значения в Новосибирской области"</t>
  </si>
  <si>
    <t>01.22.01</t>
  </si>
  <si>
    <r>
      <t>25-70760-00000-00000/</t>
    </r>
    <r>
      <rPr>
        <sz val="12"/>
        <color indexed="2"/>
        <rFont val="Times New Roman"/>
      </rPr>
      <t>25-9Д160-00000-00000</t>
    </r>
  </si>
  <si>
    <t>2 02 25097 05 0000 150</t>
  </si>
  <si>
    <t>Субсидии на реализацию мероприятий по созданию в общеобразовательных организациях, расположенных в сельской местности, условий для занятий физической культурой и спортом государственной программы Новосибирской области "Развитие физической культуры и спорта в Новосибирской области"</t>
  </si>
  <si>
    <t>01.22.10/01.02.00</t>
  </si>
  <si>
    <t xml:space="preserve">2 02 25172 05 0000 150
</t>
  </si>
  <si>
    <t>Субсидии на обновление материально-технической базы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программам, государственной программы Новосибирской области "Развитие образования, создание условий для социализации детей и учащейся молодежи в Новосибирской области"</t>
  </si>
  <si>
    <t>01.22.33</t>
  </si>
  <si>
    <t>24-А1721-00000-00000</t>
  </si>
  <si>
    <t xml:space="preserve">2 02 25299 05 0000 150
</t>
  </si>
  <si>
    <t xml:space="preserve">Субсидии на реализацию мероприятий по ресурсному обеспечению модернизации образования Новосибирской области государственной программы Новосибирской области "Развитие образования, создание условий для социализации детей и учащейся молодежи в Новосибирской области" </t>
  </si>
  <si>
    <t>01.22.15</t>
  </si>
  <si>
    <t>24-52990-00000-00001</t>
  </si>
  <si>
    <t xml:space="preserve">2 02 25304 05 0000 150
</t>
  </si>
  <si>
    <t>Субсидии на организацию бесплатного горячего питания обучающихся, получающих начальное общее образование в муниципальных образовательных организациях, государственной программы Новосибирской области "Развитие образования, создание условий для социализации детей и учащейся молодежи в Новосибирской области"</t>
  </si>
  <si>
    <t>01.22.29/01.02.00</t>
  </si>
  <si>
    <t>25-53040-00000-00000</t>
  </si>
  <si>
    <t xml:space="preserve">2 02 25467 05 0000 150
</t>
  </si>
  <si>
    <t>Субсидии  на реализацию мероприятий по обеспечению развития и укрепления материально-технической базы домов культуры в населенных пунктах с числом жителей до 50 тысяч человек государственной программы Новосибирской области "Культура Новосибирской области"</t>
  </si>
  <si>
    <t>01.22.04/01.02.00</t>
  </si>
  <si>
    <t>25-54670-00000-00000</t>
  </si>
  <si>
    <t>Финансовое обеспечение реализации инфраструктурных (инвестиционных) проектов за счет средств от списания задолженности по бюджетным кредитам (водоснабжение и водоотведение)</t>
  </si>
  <si>
    <t>01.22.14/01.02.00</t>
  </si>
  <si>
    <t xml:space="preserve">2 02 25519 05 0000 150
</t>
  </si>
  <si>
    <t>Субсидии на реализацию мероприятий по комплектованию библиотечных фондов муниципальных общедоступных библиотек Новосибирской области государственной программы Новосибирской области "Культура Новосибирской области"</t>
  </si>
  <si>
    <t>01.22.11/01.02.00</t>
  </si>
  <si>
    <t>25-55190-00000-00000 /2555190Х232780000000</t>
  </si>
  <si>
    <t xml:space="preserve">Субсидии на оснащение объектов спортивной инфраструктуры спортивно-технологическим оборудованием государственной программы Новосибирской области "Развитие физической культуры и спорта в Новосибирской области" </t>
  </si>
  <si>
    <t>01.22.45/01.02.00</t>
  </si>
  <si>
    <t>Cубсидии на реализацию мероприятий по модернизации коммунальной инфраструктуры государственной программы Новосибирской области "Жилищно-коммунальное хозяйство Новосибирской области"</t>
  </si>
  <si>
    <t>01.02.00/01.22.45</t>
  </si>
  <si>
    <t>2455190Х100230000000</t>
  </si>
  <si>
    <t xml:space="preserve">2 02 25527 05 0000 150
</t>
  </si>
  <si>
    <t>Субсидии на софинансирование муниципальных программ развития малого и среднего предпринимательства государственной программы Новосибирской области "Развитие субъектов малого и среднего предпринимательства в Новосибирской области"</t>
  </si>
  <si>
    <t>01.22.13</t>
  </si>
  <si>
    <t>25-70690-00000-00000</t>
  </si>
  <si>
    <t>2 02 25555 05 0000 150</t>
  </si>
  <si>
    <t>Субсидии на реализацию программ формирования современной городской среды подпрограммы "Благоустройство территорий населенных пунктов" государственной программы Новосибирской области "Жилищно-коммунальное хозяйство Новосибирской области" (благоустройство общественных пространств населенных пунктов Новосибирской области)</t>
  </si>
  <si>
    <t>01.22.22/01.02.00</t>
  </si>
  <si>
    <t>Субсидии на реализацию программ формирования современной городской среды подпрограммы "Благоустройство территорий населенных пунктов" государственной программы Новосибирской области "Жилищно-коммунальное хозяйство Новосибирской области"(благоустройство дворовых территорий многоквартирных домов населенных пунктов Новосибирской области)</t>
  </si>
  <si>
    <t>01.22.21/01.02.00</t>
  </si>
  <si>
    <t>2 02 25750 05 0000 150</t>
  </si>
  <si>
    <t>Субсиди на реализацию мероприятий по модернизации школьных систем образования государственной программы Новосибирской области "Развитие образования, создание условий для социализации детей и учащейся молодежи в Новосибирской области"</t>
  </si>
  <si>
    <t>01.22.40/01.02.00</t>
  </si>
  <si>
    <t>24-57500-00000-00000</t>
  </si>
  <si>
    <t>2 02 27576 05 0000 150</t>
  </si>
  <si>
    <t>Субсидии на обеспечение комплексного развития сельских территорий государственной программы Новосибирской области "Комплексное развитие сельских территорий в Новосибирской области" (Формирование современного облика сельских территорий, направленных на создание и развитие инфраструктуры в сельской местности)</t>
  </si>
  <si>
    <t>01.22.46/01.02.00</t>
  </si>
  <si>
    <t>2 02 25576 05 0000 150</t>
  </si>
  <si>
    <t>Субсидии на обеспечение комплексного развития сельских территорий государственной программы Новосибирской области "Комплексное развитие сельских территорий в Новосибирской области"(Реализация проектов, направленных на создание комфортных условий проживания в сельской местности)</t>
  </si>
  <si>
    <t>01.22.50/01/02/00</t>
  </si>
  <si>
    <t>24-55760-00000-00005</t>
  </si>
  <si>
    <t>Субсидии на обеспечение комплексного развития сельских территорий государственной программы Новосибирской области "Комплексное развитие сельских территорий в Новосибирской области" (Строительство (приобретение) жилья на сельских территориях, предоставляемого по договору найма жилого помещения)</t>
  </si>
  <si>
    <t>Субсидии на обеспечение комплексного развития сельских территорий государственной программы Новосибирской области "Комплексное развитие сельских территорий в Новосибирской области" (Создание комфортных условий проживания в сельской местности)</t>
  </si>
  <si>
    <t>24-55760-00000-00006</t>
  </si>
  <si>
    <t>01.02.00/01.22.50</t>
  </si>
  <si>
    <t>24-55760-00000-00000</t>
  </si>
  <si>
    <t xml:space="preserve">2 02 29999 05 0000 150
</t>
  </si>
  <si>
    <t>Субсидии  на реализацию мероприятий по оздоровлению детей государственной программы Новосибирской области "Социальная поддержка в Новосибирской области"</t>
  </si>
  <si>
    <t>01.22.02</t>
  </si>
  <si>
    <t>25-70359-00000-00000</t>
  </si>
  <si>
    <t>Субсидии на реализацию мероприятий по созданию условий для развития сферы туризма, инфраструктуры досуга и отдыха на территориях муниципальных образований Новосибирской области государственной программы Новосибирской области "Развитие туризма в Новосибирской области"</t>
  </si>
  <si>
    <t>01.22.03</t>
  </si>
  <si>
    <t>Субсидии на реализацию мероприятий по обеспечению сбалансированности местных бюджетов государственной программы Новосибирской области "Управление финансами в Новосибирской области</t>
  </si>
  <si>
    <t>01.22.05</t>
  </si>
  <si>
    <t>25-70510-00000-00000/25-70510-00000-00001</t>
  </si>
  <si>
    <t>Субсидии на реализацию мероприятий по установке и модернизации систем видеонаблюдения, автоматической пожарной сигнализации и пожарного мониторинга государственной программы Новосибирской области "Построение и развитие аппаратно-программного комплекса "Безопасный город" в Новосибирской области"</t>
  </si>
  <si>
    <t>01.22.06</t>
  </si>
  <si>
    <t>24-02590-00000-00000/24-04950-00000-00000</t>
  </si>
  <si>
    <t>Субсидии  на реализацию мероприятий по организации функционирования систем жизнеобеспечения и снабжению населения топливом государственной программы Новосибирской области "Жилищно-коммунальное хозяйство Новосибирской области"(Организация функционирования систем тепло-, водоснабжения населения и водоотведения)</t>
  </si>
  <si>
    <t>01.22.07</t>
  </si>
  <si>
    <t>25-70490-00000-00000</t>
  </si>
  <si>
    <t>01.22.11</t>
  </si>
  <si>
    <t>24-70770-00000-00000</t>
  </si>
  <si>
    <t>Субсиди на приобретение оборудования и проведение капитального ремонта муниципальных учреждений культуры и муниципальных образовательных организаций дополнительного образования сферы культуры государственной программы Новосибирской области "Культура Новосибирской области" (проведение капитального ремонта)</t>
  </si>
  <si>
    <t>01.22.12</t>
  </si>
  <si>
    <t>24-70620-00000-00000</t>
  </si>
  <si>
    <t>Субсиди на государственную поддержку отрасли культуры государственной программы Новосибирской области "Культура Новосибирской области"(лучшее учреждение культуры)</t>
  </si>
  <si>
    <t>01.22.08</t>
  </si>
  <si>
    <t>24-70660-00000-00000</t>
  </si>
  <si>
    <t>Субсидии на реализацию мероприятий по содействию созданию новых мест в образовательных организациях подпрограммы "Развитие дошкольного, общего и дополнительного образования детей" государственной программы Новосибирской области "Развитие образования, создание условий для социализации детей и учащейся молодежи в Новосибирской области" (в сфере общего образования)</t>
  </si>
  <si>
    <t>01.22.17</t>
  </si>
  <si>
    <t>2 02 29999 05 0000 150</t>
  </si>
  <si>
    <t>Субсидии на приобретение (обновление) транспортных средств автомобильного и наземного электрического общественного пассажирского транспорта государственной программы Новосибирской области "Обеспечение доступности услуг общественного транспорта, в том числе Новосибирского метрополитена, для населения Новосибирской области"</t>
  </si>
  <si>
    <t>01.22.25</t>
  </si>
  <si>
    <t>Субсидии на подготовку и проведение физкультурных и комплексных физкультурных мероприятий государственной программы Новосибирской области "Развитие физической культуры и спорта в Новосибирской облас"Развитие физической культуры и спорта в Новосибирской области"</t>
  </si>
  <si>
    <t>01.22.27</t>
  </si>
  <si>
    <t>25-70740-00000-00000</t>
  </si>
  <si>
    <t>01.22.28</t>
  </si>
  <si>
    <t>24-03470-00000-00001</t>
  </si>
  <si>
    <t>Субсиди на реализацию мероприятий по модернизации и развитию инфраструктуры связи на территории Новосибирской области государственной программы Новосибирской области "Цифровая трансформация Новосибирской области"</t>
  </si>
  <si>
    <t>01.22.30</t>
  </si>
  <si>
    <t>24-70570-00000-00000</t>
  </si>
  <si>
    <t>Субсиди на осуществление полномочий по организации регулярных перевозок пассажиров и багажа по муниципальным маршрутам государственной программы Новосибирской области "Обеспечение доступности услуг общественного пассажирского транспорта, в том числе Новосибирского метрополитена, для населения Новосибирской области"</t>
  </si>
  <si>
    <t>01.22.09</t>
  </si>
  <si>
    <t>25-71100-00000-00000</t>
  </si>
  <si>
    <t>Субсидии на организацию бесперебойной работы объектов тепло-, водоснабжения и водоотведения государственной программы Новосибирской области "Жилищно-коммунальное хозяйство Новосибирской области"</t>
  </si>
  <si>
    <t>01.22.32</t>
  </si>
  <si>
    <t>24-70600-00000-00000</t>
  </si>
  <si>
    <t>Субсидии на софинансирование мероприятий муниципальных программ развития территориального общественного самоуправления в Новосибирской области государственной программы Новосибирской области "Развитие институтов региональной политики и гражданского общества в Новосибирской области"</t>
  </si>
  <si>
    <t>01.22.34</t>
  </si>
  <si>
    <t>25-70610-00000-00000</t>
  </si>
  <si>
    <t>Субсидии на управление дорожным хозяйством</t>
  </si>
  <si>
    <t>01.22.38</t>
  </si>
  <si>
    <t>24-70320-00000-00000</t>
  </si>
  <si>
    <t>Субсидии на реализацию мероприятий по разработке проектной документации и проведению ее государственной экспертизы государственной программы Новосибирской области “Комплексное развитие сельских территорий в Новосибирской области”</t>
  </si>
  <si>
    <t>01.22.42</t>
  </si>
  <si>
    <t>Субсидии на реализацию мероприятий по организации благоустройства дворовых территорий многоквартирных домов, территорий общего пользования подпрограммы "Благоустройство территорий населенных пунктов" государственной программы Новосибирской области "Жилищно-коммунальное хозяйство Новосибирской области"</t>
  </si>
  <si>
    <t>01.22.43</t>
  </si>
  <si>
    <t>Субсидии на подготовку градостроительной документации и (или)  внесение в нее изменений государственной программы Новосибирской области "Стимулирование развития жилищного строительства в Новосибирской области"</t>
  </si>
  <si>
    <t>01.22.44</t>
  </si>
  <si>
    <t>25-71200-00000-00000</t>
  </si>
  <si>
    <t>Субсидии на подготовку и проведение физкультурных и комплексных физкультурных мероприятий государственной программы Новосибирской области "Развитие физической культуры и спорта в Новосибирской области"</t>
  </si>
  <si>
    <t>01.22.23</t>
  </si>
  <si>
    <t>24-70270-00000-00000</t>
  </si>
  <si>
    <t xml:space="preserve">2 02 25590 05 0000 150
</t>
  </si>
  <si>
    <t>Субсидии на реализацию мероприятий по обеспечению жилыми помещениями многодетных семей государственной программы Новосибирской области "Стимулирование развития жилищного строительства в Новосибирской области"</t>
  </si>
  <si>
    <t>01.22.51</t>
  </si>
  <si>
    <t xml:space="preserve">Субсидиина развитие социальной инфраструктуры в сфере организации отдыха и оздоровления детей Новосибирской области государственной программы
Новосибирской области "Социальная поддержка в Новосибирской области" </t>
  </si>
  <si>
    <t>01.22.49</t>
  </si>
  <si>
    <t>24-70929-00000-00000</t>
  </si>
  <si>
    <t xml:space="preserve">Субсидии на обустройство (создание) контейнерных площадок, в том числе приобретение контейнеров (емкостей) для накопления твердых коммунальных отходов, государственной программы Новосибирской области "Развитие системы обращения с отходами производства и потребления в Новосибирской области" </t>
  </si>
  <si>
    <t>01.22.16</t>
  </si>
  <si>
    <t>00020220077000000150</t>
  </si>
  <si>
    <t xml:space="preserve">Субсидии на реализацию мероприятий по строительству и реконструкции котельных, тепловых сетей, включая вынос водопроводов из каналов тепловой сети, государственной программы Новосибирской области "Энергосбережение и повышение энергетической эффективности Новосибирской области" </t>
  </si>
  <si>
    <t>25-70550-00000-00000</t>
  </si>
  <si>
    <t>Проектирование и создание инфраструктуры в сфере обращения с твердыми коммунальными отходами</t>
  </si>
  <si>
    <t>25-70960-00000-00000</t>
  </si>
  <si>
    <t>2 02 30000 00 0000 151</t>
  </si>
  <si>
    <t>Субвенции бюджетам субъектов Российской Федерации и муниципальных образований, в том числе:</t>
  </si>
  <si>
    <t>2 02 30024 05 0000 150</t>
  </si>
  <si>
    <t>Субвенции на осуществление уведомительной регистрации коллективных договоров, территориальных соглашений и территориальных отраслевых (межотраслевых) соглашений</t>
  </si>
  <si>
    <t>01.21.01</t>
  </si>
  <si>
    <t>25-70210-00000-00000</t>
  </si>
  <si>
    <t>Субвенции местным бюджетам на выполнение передаваемых полномочий, в том числе:</t>
  </si>
  <si>
    <t>а) на реализацию основных общеобразовательных программ в муниципальных общеобразовательных организациях</t>
  </si>
  <si>
    <t>01.21.02</t>
  </si>
  <si>
    <t>25-70120-00000-00000</t>
  </si>
  <si>
    <t>б) на реализацию основных общеобразовательных программ дошкольного образования в муниципальных образовательных организациях</t>
  </si>
  <si>
    <t>01.21.03</t>
  </si>
  <si>
    <t>25-70110-00000-00000</t>
  </si>
  <si>
    <t>в) на образование и организацию деятельности комиссий по делам несовершеннолетних и защите их прав</t>
  </si>
  <si>
    <t>01.21.04</t>
  </si>
  <si>
    <t>25-70159-00000-00000</t>
  </si>
  <si>
    <t>г) на социальную поддержку отдельных категорий детей, обучающихся в образовательных организациях</t>
  </si>
  <si>
    <t>01.21.05</t>
  </si>
  <si>
    <t>25-03349-00000-00000</t>
  </si>
  <si>
    <t>д) по организации получения образования обучающимися с ограниченными возможностями здоровья в отдельных общеобразовательных организациях, осуществляющих образовательную деятельность по адаптированным основным общеобразовательным программам для обучающихся с ограниченными возможностями здоровья</t>
  </si>
  <si>
    <t>01.21.06</t>
  </si>
  <si>
    <t>25-70140-00000-00000</t>
  </si>
  <si>
    <t>е) на осуществление отдельных государственных полномочий Новосибирской области по обеспечению социального обслуживания отдельных категорий граждан</t>
  </si>
  <si>
    <t>01.21.07/01.21.08</t>
  </si>
  <si>
    <t>25-70180-00000-00000</t>
  </si>
  <si>
    <t>ж) на осуществление отдельных государственных полномочий Новосибирской области по сбору информации от поселений, входящих в муниципальный район, необходимой для ведения регистра муниципальных нормативных правовых актов Новосибирской области</t>
  </si>
  <si>
    <t>01.21.16</t>
  </si>
  <si>
    <t>25-70230-00000-00000</t>
  </si>
  <si>
    <t>з) на осуществление отдельных государственных полномочий Новосибирской области по решению вопросов в сфере административных правонарушений</t>
  </si>
  <si>
    <t>01.21.17</t>
  </si>
  <si>
    <t>25-70190-00000-00000</t>
  </si>
  <si>
    <t>Субвенции  на организацию и осуществление деятельности по опеке и попечительству, социальной поддержке детей-сирот и детей, оставшихся без попечения родителей
 в том числе:</t>
  </si>
  <si>
    <t>01.21.10,11,12,13</t>
  </si>
  <si>
    <t>25-70289-00000-00000</t>
  </si>
  <si>
    <t>а) на выплаты приемной семье на содержание подопечных детей</t>
  </si>
  <si>
    <t>б) на выплаты семьям опекунов на содержание подопечных детей</t>
  </si>
  <si>
    <t>в)  на выплату вознаграждения приемным родителям</t>
  </si>
  <si>
    <t>Субвенции на осуществление отдельных государственных полномочий Новосибирской области по предоставлению гражданам, имеющим трех и более детей, в том числе принятых под опеку (попечительство), пасынков и падчериц, единовременной денежной выплаты взамен земельных участков для индивидуального жилищного строительства на 2025 год и плановый период 2026 и 2027 годов</t>
  </si>
  <si>
    <t>Субвенции на организацию мероприятий при осуществлении деятельности по обращению с животными без владельцев</t>
  </si>
  <si>
    <t>01.21.14</t>
  </si>
  <si>
    <t>25-70160-00000-00000</t>
  </si>
  <si>
    <t>Субвенции на осуществление отдельных государственных полномочий Новосибирской области по расчету и предоставлению дотаций бюджетам поселений</t>
  </si>
  <si>
    <t>01.21.15</t>
  </si>
  <si>
    <t>25-70220-00000-00000</t>
  </si>
  <si>
    <t>Субвенции на осуществление отдельных государственных полномочий Новосибирской области по обеспечению условий доступности жилого помещения гражданам, принимавшим участие в специальной военной операции, являющимися инвалидами боевых действий</t>
  </si>
  <si>
    <t>01.21.20</t>
  </si>
  <si>
    <t>25-71110-00000-00000</t>
  </si>
  <si>
    <t>2 02 35082 05 0000 150</t>
  </si>
  <si>
    <t>Субвенции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</si>
  <si>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01.21.09</t>
  </si>
  <si>
    <t>25-70139-00000-00000</t>
  </si>
  <si>
    <t>Субвенции на предоставление единовременной выплаты на приобретение в собственность жилого помещения детям-сиротам и детям, оставшимся без попечения родителей, лицам из их числа</t>
  </si>
  <si>
    <t>01.21.19</t>
  </si>
  <si>
    <t>24-70399-00000-00000</t>
  </si>
  <si>
    <t>2 02 35118 05 0000 150</t>
  </si>
  <si>
    <t>Субвенции на осуществление первичного воинского учета органами местного самоуправления поселений, муниципальных и городских округов</t>
  </si>
  <si>
    <t>01.02.00</t>
  </si>
  <si>
    <t>25-51180-00000-00000</t>
  </si>
  <si>
    <t>2 02 35120 05 0000 150</t>
  </si>
  <si>
    <t>Субвенции на осуществление государственных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</si>
  <si>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01.02.00.</t>
  </si>
  <si>
    <t>25-51200-00000-00000</t>
  </si>
  <si>
    <t>2 02 40000 00 0000 151</t>
  </si>
  <si>
    <t>Иные межбюджетные трансферты</t>
  </si>
  <si>
    <t>2 02 40014 05 0000 150</t>
  </si>
  <si>
    <t xml:space="preserve">Межбюджетные трансферты, передаваемые бюджетам муниципальных районов из бюджетов поселений на осуществление части  полномочий по решению вопросов местного значения в соответствии с заключенными соглашениями </t>
  </si>
  <si>
    <t>01.01.46,47,48,49,51,57,59</t>
  </si>
  <si>
    <t>2 02 45303 05 0000 150</t>
  </si>
  <si>
    <t>Иные межбюджетные трансферты на ежемесячное денежное вознаграждение за классное руководство педагогическим работникам муниципальных общеобразовательных организаций государственной программы Новосибирской области "Развитие образования, создание условий для социализации детей и учащейся молодежи в Новосибирской области"</t>
  </si>
  <si>
    <t>01.23.01/01.02.00</t>
  </si>
  <si>
    <t>25-03350-00000-00000 / 25-53030-00000-00000</t>
  </si>
  <si>
    <t>2 02 45179 05 0000 150</t>
  </si>
  <si>
    <t>Иные межбюджетные трансферты на 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 государственной программы Новосибирской области "Развитие образования, создание условий для социализации детей и учащейся молодежи в Новосибирской области"</t>
  </si>
  <si>
    <t>01.23.10/01.02.00</t>
  </si>
  <si>
    <t>99-51790-00000-00000</t>
  </si>
  <si>
    <t>202 49999 05 0000 150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</si>
  <si>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</si>
  <si>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25-01790-00000-00000</t>
  </si>
  <si>
    <t>2 02 49999 05 0000 150</t>
  </si>
  <si>
    <t>Иные межбюджетные трансферты на реализацию мероприятий по созданию системы долговременного ухода за гражданами пожилого возраста и инвалидами государственной программы Новосибирской области "Социальная поддержка в Новосибирской области"</t>
  </si>
  <si>
    <t>01.23.03/01.02.00</t>
  </si>
  <si>
    <t>24-51630-00000-00000</t>
  </si>
  <si>
    <t>Иные межбюджетные трансферты на на организацию и проведение мероприятий с целью расширения прав инвалидов государственной программы Новосибирской области "Социальная поддержка в Новосибирской области"</t>
  </si>
  <si>
    <t>01.23.04</t>
  </si>
  <si>
    <t>24-70340-00000-00000</t>
  </si>
  <si>
    <t>Иные межбюджетные трансферты на  реализацию мероприятий по ресурсному обеспечению модернизации образования Новосибирской области государственной программы Новосибирской области "Развитие образования, создание условий для социализации детей и учащейся молодежи в Новосибирской области"</t>
  </si>
  <si>
    <t>01.23.05</t>
  </si>
  <si>
    <t>24-03470-00000-00002</t>
  </si>
  <si>
    <t>Иные межбюджетные трансферты на оплату расходов, связанных со строительством специализированного жилищного фонда для предоставления отдельным категориям граждан, государственной программы Новосибирской области "Стимулирование развития жилищного строительства в Новосибирской области"</t>
  </si>
  <si>
    <t>01.23.17</t>
  </si>
  <si>
    <t>24-70830-00001-00000</t>
  </si>
  <si>
    <t>Иные межбюджетные трансферты на реализацию мероприятий по сохранению, использованию, популяризации и государственной охране объектов культурного наследия народов Российской Федерации, расположенных на территории Новосибирской области, государственной программы Новосибирской области "Культура Новосибирской области"</t>
  </si>
  <si>
    <t>01.23.16</t>
  </si>
  <si>
    <t>25-70310-00000-00000</t>
  </si>
  <si>
    <t>Иные межбюджетные трансферты на обеспечение мероприятий по улучшению жилищных условий граждан, проживающих на сельских территориях, государственной программы Новосибирской области "Комплексное развитие сельских территорий в Новосибирской области"</t>
  </si>
  <si>
    <t>01.02.00/01.23.15</t>
  </si>
  <si>
    <t>99-55760-00000-00001</t>
  </si>
  <si>
    <t>Иные межбюджетные трансферты на реализацию мероприятий по обеспечению жильем молодых семей государственной программы Новосибирской области "Обеспечение жильем молодых семей в Новосибирской области"</t>
  </si>
  <si>
    <t>01.23.07/01.02.00</t>
  </si>
  <si>
    <t>25-54970-00000-00000</t>
  </si>
  <si>
    <t>Резервный фонд Правительства Новосибирской области</t>
  </si>
  <si>
    <t>01.23.09/01.23.18</t>
  </si>
  <si>
    <t>24-20540-00000-00000</t>
  </si>
  <si>
    <t>Иные межбюджетные трансферты на обеспечение проезда детей и совершеннолетних граждан-сопровождающих организованные группы детей к месту отдыха и обратно при условии нахождения места отдыха в пределах Новосибирской области государственной программы Новосибирской области "Социальная поддержка в Новосибирской области"</t>
  </si>
  <si>
    <t>01.23.06</t>
  </si>
  <si>
    <t>25-70079-00000-00000</t>
  </si>
  <si>
    <t>Иные межбюджетные трансферты на Поощрение за достижение показателей деятельности органов исполнительной власти субъектов Российской Федерации</t>
  </si>
  <si>
    <t>01.23.11</t>
  </si>
  <si>
    <t>25-04849-00000-00000</t>
  </si>
  <si>
    <t>Развитие новых форм и технологий социального обслуживания семей с детьми</t>
  </si>
  <si>
    <t>01.05.04</t>
  </si>
  <si>
    <t>Финансовое обеспечение деятельности муниципальных образований Новосибирской области по управлению дорожным хозяйством</t>
  </si>
  <si>
    <t>25-9Д880-00000-00000</t>
  </si>
  <si>
    <t>207 00000 00 0000 180</t>
  </si>
  <si>
    <t>Прочие безвозмездные поступления</t>
  </si>
  <si>
    <t>2 07 05030 05 0000 150</t>
  </si>
  <si>
    <t>Прочие безвозмездные поступления в бюджеты муниципальных районов</t>
  </si>
  <si>
    <t>01.01.56</t>
  </si>
  <si>
    <t>Всего</t>
  </si>
  <si>
    <t>Маюровский сельсовет</t>
  </si>
  <si>
    <t>суммас</t>
  </si>
  <si>
    <t>Пояснения по изменениям к 4 сессии</t>
  </si>
  <si>
    <t>3 сессия</t>
  </si>
  <si>
    <t>4 сессия</t>
  </si>
  <si>
    <t>остаток на 01.01.2025</t>
  </si>
  <si>
    <t>остатки целевые на 01.01.2025</t>
  </si>
  <si>
    <t>остаток на 01.01.2025 (культура, спорт, ревизор, градостр.)</t>
  </si>
  <si>
    <t>остаток на 01.01.2025(род.пл.)</t>
  </si>
  <si>
    <t>остаток на 01.01.2025 (пл.усл)</t>
  </si>
  <si>
    <t>4026654,15 -Патриот;293004,03-КДО;173809,59-СОЦ; 55399,48-ЦКиДМ;579052,19-УКС;462727,26- ОШ-и;382134,54-КЦСОН</t>
  </si>
  <si>
    <t>остаток на 01.01.2025 инициат.бюджет.</t>
  </si>
  <si>
    <t>остаток на 01.01.2025 платежи за прир.ресурсы.</t>
  </si>
  <si>
    <t>остатки по прочим безвозм.на 01.01.2025</t>
  </si>
  <si>
    <t>остаток на 01.01.2025 (Тр.налог)</t>
  </si>
  <si>
    <t>остаток на 01.01.2025(Акцизы)</t>
  </si>
  <si>
    <t>Всего остаток на 01.01.2025</t>
  </si>
  <si>
    <t>Переходящие контракты</t>
  </si>
  <si>
    <t>Резерв гос.финансы</t>
  </si>
  <si>
    <t>Остатки МБТ 2025 года вост.</t>
  </si>
  <si>
    <t>кредит погашение</t>
  </si>
  <si>
    <t>доходы</t>
  </si>
  <si>
    <t>расходы</t>
  </si>
  <si>
    <t>акцизы распределение</t>
  </si>
  <si>
    <t>ОСТАТОК</t>
  </si>
  <si>
    <t>Тр.налог распределение</t>
  </si>
  <si>
    <t>дефицит (профицит)</t>
  </si>
  <si>
    <t>обеспеченный дефицит</t>
  </si>
  <si>
    <t>Примечание</t>
  </si>
  <si>
    <t>Прочие безвозмездные поступления "Движение первых"</t>
  </si>
  <si>
    <t>Итого доходов:</t>
  </si>
  <si>
    <t>Итого</t>
  </si>
  <si>
    <t>Расходы всего:</t>
  </si>
  <si>
    <t>0100 раздел</t>
  </si>
  <si>
    <t>0200 раздел</t>
  </si>
  <si>
    <t>0300 раздел</t>
  </si>
  <si>
    <t>0400 раздел</t>
  </si>
  <si>
    <t>0500 раздел</t>
  </si>
  <si>
    <t>0600 раздел</t>
  </si>
  <si>
    <t>СОШ № 2 "Движение первых"</t>
  </si>
  <si>
    <t>Экономия по установке теплосчетчиков</t>
  </si>
  <si>
    <t>Шайдуровская СОШ -ремонт холодильного оборудования</t>
  </si>
  <si>
    <t>СОШ № 2  Школьные лесничества г. Красноярск</t>
  </si>
  <si>
    <t>СОШ № 1  Школьные лесничества г. Красноярск</t>
  </si>
  <si>
    <t>СОШ № 1 подарочный сертификат на юбилей школы (фрезерный станок с ЧПУ)</t>
  </si>
  <si>
    <t>ДДТ подарочный сертификат на юбилей (Компьютер)</t>
  </si>
  <si>
    <t>Меретская СОШ - блок питания аккумулятор для системы пожарной сигнализации</t>
  </si>
  <si>
    <t>СОШ № 2- приобретение стульев в учебные кабинеты</t>
  </si>
  <si>
    <t>СОШ № 1 жалюзи (Деп.фонд)</t>
  </si>
  <si>
    <t>Деп.фонд экономия</t>
  </si>
  <si>
    <t>0700 раздел</t>
  </si>
  <si>
    <t>ЦБС устройство наружной канализации с.Верх-Сузун</t>
  </si>
  <si>
    <t>КДО проведение Межрайонный этап проекта "Героями славится Сибирь"</t>
  </si>
  <si>
    <t>ЦБС подписка на 1-ое полугодие 2026 года</t>
  </si>
  <si>
    <t>КДО ткань для пошива костюмов - "Надежда" и русский народный хор (Деп.фонд)</t>
  </si>
  <si>
    <t>0800 раздел</t>
  </si>
  <si>
    <t>1000 раздел</t>
  </si>
  <si>
    <t>Экономия по деп.фонду</t>
  </si>
  <si>
    <t>1100 раздел</t>
  </si>
  <si>
    <t>1300 раздел</t>
  </si>
  <si>
    <t>1400 раздел</t>
  </si>
  <si>
    <t>Итого к утверждению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</si>
</sst>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164" formatCode="_-* #,##0.0_р_._-;\-* #,##0.0_р_._-;_-* &quot;-&quot;??_р_._-;_-@_-"/>
    <numFmt numFmtId="165" formatCode="_-* #,##0.0\ _?_-;\-* #,##0.0\ _?_-;_-* &quot;-&quot;?\ _?_-;_-@_-"/>
    <numFmt numFmtId="166" formatCode="#,##0.0_ ;\-#,##0.0\ "/>
    <numFmt numFmtId="167" formatCode="_-* #,##0.00&quot;р.&quot;_-;\-* #,##0.00&quot;р.&quot;_-;_-* &quot;-&quot;??&quot;р.&quot;_-;_-@_-"/>
    <numFmt numFmtId="168" formatCode="_-* #,##0.0_р_._-;\-* #,##0.0_р_._-;_-* \-??_р_._-;_-@_-"/>
    <numFmt numFmtId="169" formatCode="&quot;&quot;#,##0.00"/>
    <numFmt numFmtId="170" formatCode="&quot;&quot;#,##0.00;[Red]\-#,##0.00"/>
    <numFmt numFmtId="171" formatCode="#,##0.000"/>
    <numFmt numFmtId="172" formatCode="#,##0.00_р_."/>
    <numFmt numFmtId="173" formatCode="#,##0.0"/>
  </numFmts>
  <fonts count="25" x14ac:knownFonts="1">
    <font>
      <sz val="11"/>
      <color theme="1"/>
      <name val="Calibri"/>
      <scheme val="minor"/>
    </font>
    <font>
      <sz val="11"/>
      <name val="Calibri"/>
      <scheme val="minor"/>
    </font>
    <font>
      <sz val="10"/>
      <name val="Times New Roman"/>
    </font>
    <font>
      <b/>
      <sz val="10"/>
      <name val="Times New Roman"/>
    </font>
    <font>
      <sz val="10"/>
      <name val="Arial"/>
    </font>
    <font>
      <i/>
      <sz val="10"/>
      <name val="Times New Roman"/>
    </font>
    <font>
      <b/>
      <sz val="12"/>
      <name val="Times New Roman"/>
    </font>
    <font>
      <sz val="11"/>
      <name val="Times New Roman"/>
    </font>
    <font>
      <b/>
      <sz val="11"/>
      <name val="Times New Roman"/>
    </font>
    <font>
      <sz val="10"/>
      <name val="Arial Cyr"/>
    </font>
    <font>
      <sz val="16"/>
      <name val="Times New Roman"/>
    </font>
    <font>
      <sz val="12"/>
      <name val="Times New Roman"/>
    </font>
    <font>
      <b/>
      <sz val="16"/>
      <name val="Times New Roman"/>
    </font>
    <font>
      <sz val="14"/>
      <name val="Times New Roman"/>
    </font>
    <font>
      <b/>
      <sz val="14"/>
      <name val="Times New Roman"/>
    </font>
    <font>
      <b/>
      <i/>
      <sz val="12"/>
      <name val="Times New Roman"/>
    </font>
    <font>
      <sz val="9"/>
      <name val="Times New Roman"/>
    </font>
    <font>
      <sz val="12"/>
      <color theme="0"/>
      <name val="Times New Roman"/>
    </font>
    <font>
      <sz val="10"/>
      <color theme="0"/>
      <name val="Times New Roman"/>
    </font>
    <font>
      <sz val="9"/>
      <color indexed="2"/>
      <name val="Times New Roman"/>
    </font>
    <font>
      <b/>
      <sz val="9"/>
      <name val="Times New Roman"/>
    </font>
    <font>
      <sz val="9"/>
      <color theme="1"/>
      <name val="Times New Roman"/>
    </font>
    <font>
      <strike/>
      <sz val="9"/>
      <color indexed="2"/>
      <name val="Times New Roman"/>
    </font>
    <font>
      <b/>
      <sz val="9"/>
      <color indexed="2"/>
      <name val="Times New Roman"/>
    </font>
    <font>
      <sz val="12"/>
      <color indexed="2"/>
      <name val="Times New Roman"/>
    </font>
  </fonts>
  <fills count="19">
    <fill>
      <patternFill patternType="none"/>
    </fill>
    <fill>
      <patternFill patternType="gray125"/>
    </fill>
    <fill>
      <patternFill patternType="solid">
        <fgColor rgb="FF92D050"/>
        <bgColor rgb="FF92D050"/>
      </patternFill>
    </fill>
    <fill>
      <patternFill patternType="solid">
        <fgColor rgb="FFDDEFC7"/>
        <bgColor rgb="FFDDEFC7"/>
      </patternFill>
    </fill>
    <fill>
      <patternFill patternType="solid">
        <fgColor indexed="22"/>
        <bgColor indexed="22"/>
      </patternFill>
    </fill>
    <fill>
      <patternFill patternType="solid">
        <fgColor indexed="65"/>
      </patternFill>
    </fill>
    <fill>
      <patternFill patternType="solid">
        <fgColor rgb="FF8EB4E3"/>
        <bgColor rgb="FF8EB4E3"/>
      </patternFill>
    </fill>
    <fill>
      <patternFill patternType="solid">
        <fgColor indexed="27"/>
        <bgColor indexed="27"/>
      </patternFill>
    </fill>
    <fill>
      <patternFill patternType="solid">
        <fgColor indexed="5"/>
        <bgColor indexed="5"/>
      </patternFill>
    </fill>
    <fill>
      <patternFill patternType="solid">
        <fgColor theme="0"/>
        <bgColor theme="0"/>
      </patternFill>
    </fill>
    <fill>
      <patternFill patternType="solid">
        <fgColor rgb="FFFFC000"/>
        <bgColor rgb="FFFFC000"/>
      </patternFill>
    </fill>
    <fill>
      <patternFill patternType="solid">
        <fgColor theme="7" tint="0.59999389629810485"/>
        <bgColor theme="7" tint="0.59999389629810485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5" tint="0.39997558519241921"/>
        <bgColor theme="5" tint="0.39997558519241921"/>
      </patternFill>
    </fill>
    <fill>
      <patternFill patternType="solid">
        <fgColor theme="2" tint="-9.9978637043366805E-2"/>
        <bgColor theme="2" tint="-9.9978637043366805E-2"/>
      </patternFill>
    </fill>
    <fill>
      <patternFill patternType="solid">
        <fgColor theme="9" tint="0.79998168889431442"/>
        <bgColor theme="9" tint="0.79998168889431442"/>
      </patternFill>
    </fill>
    <fill>
      <patternFill patternType="solid">
        <fgColor theme="9"/>
        <bgColor theme="9"/>
      </patternFill>
    </fill>
    <fill>
      <patternFill patternType="solid">
        <fgColor theme="0" tint="-4.9989318521683403E-2"/>
        <bgColor theme="0" tint="-4.9989318521683403E-2"/>
      </patternFill>
    </fill>
    <fill>
      <patternFill patternType="solid">
        <fgColor theme="8" tint="0.39997558519241921"/>
        <bgColor theme="8" tint="0.39997558519241921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/>
      <right style="thin">
        <color auto="1"/>
      </right>
      <top style="thin">
        <color auto="1"/>
      </top>
      <bottom/>
      <diagonal/>
    </border>
  </borders>
  <cellStyleXfs count="157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2" fillId="0" borderId="0">
      <alignment horizontal="center" vertical="center" wrapText="1"/>
    </xf>
    <xf numFmtId="164" fontId="2" fillId="0" borderId="0">
      <alignment horizontal="center" vertical="center" wrapText="1"/>
    </xf>
    <xf numFmtId="164" fontId="3" fillId="2" borderId="1">
      <alignment vertical="center" wrapText="1"/>
    </xf>
    <xf numFmtId="164" fontId="3" fillId="2" borderId="1">
      <alignment vertical="center" wrapText="1"/>
    </xf>
    <xf numFmtId="0" fontId="4" fillId="3" borderId="1">
      <alignment wrapText="1"/>
    </xf>
    <xf numFmtId="0" fontId="4" fillId="3" borderId="1">
      <alignment wrapText="1"/>
    </xf>
    <xf numFmtId="0" fontId="4" fillId="0" borderId="1">
      <alignment wrapText="1"/>
    </xf>
    <xf numFmtId="0" fontId="4" fillId="0" borderId="1">
      <alignment wrapText="1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4" borderId="0"/>
    <xf numFmtId="0" fontId="4" fillId="4" borderId="0"/>
    <xf numFmtId="0" fontId="2" fillId="0" borderId="0">
      <alignment vertical="center"/>
    </xf>
    <xf numFmtId="0" fontId="2" fillId="0" borderId="0">
      <alignment vertical="center"/>
    </xf>
    <xf numFmtId="0" fontId="2" fillId="0" borderId="1">
      <alignment horizontal="center" vertical="center"/>
    </xf>
    <xf numFmtId="0" fontId="2" fillId="0" borderId="1">
      <alignment horizontal="center" vertical="center"/>
    </xf>
    <xf numFmtId="0" fontId="5" fillId="2" borderId="1">
      <alignment vertical="center"/>
    </xf>
    <xf numFmtId="0" fontId="5" fillId="2" borderId="1">
      <alignment vertical="center"/>
    </xf>
    <xf numFmtId="0" fontId="5" fillId="3" borderId="1">
      <alignment vertical="center"/>
    </xf>
    <xf numFmtId="0" fontId="5" fillId="3" borderId="1">
      <alignment vertical="center"/>
    </xf>
    <xf numFmtId="0" fontId="5" fillId="0" borderId="1">
      <alignment vertical="center"/>
    </xf>
    <xf numFmtId="0" fontId="5" fillId="0" borderId="1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1" fillId="0" borderId="0"/>
    <xf numFmtId="0" fontId="1" fillId="0" borderId="0"/>
    <xf numFmtId="0" fontId="3" fillId="0" borderId="2">
      <alignment vertical="center" wrapText="1"/>
    </xf>
    <xf numFmtId="0" fontId="3" fillId="0" borderId="2">
      <alignment vertical="center" wrapText="1"/>
    </xf>
    <xf numFmtId="0" fontId="2" fillId="0" borderId="3">
      <alignment horizontal="center" vertical="center"/>
    </xf>
    <xf numFmtId="0" fontId="2" fillId="0" borderId="3">
      <alignment horizontal="center" vertical="center"/>
    </xf>
    <xf numFmtId="164" fontId="5" fillId="2" borderId="3">
      <alignment vertical="center"/>
    </xf>
    <xf numFmtId="164" fontId="5" fillId="2" borderId="3">
      <alignment vertical="center"/>
    </xf>
    <xf numFmtId="164" fontId="5" fillId="3" borderId="3">
      <alignment vertical="center"/>
    </xf>
    <xf numFmtId="164" fontId="5" fillId="3" borderId="3">
      <alignment vertical="center"/>
    </xf>
    <xf numFmtId="164" fontId="5" fillId="0" borderId="3">
      <alignment vertical="center"/>
    </xf>
    <xf numFmtId="164" fontId="5" fillId="0" borderId="3">
      <alignment vertical="center"/>
    </xf>
    <xf numFmtId="0" fontId="4" fillId="0" borderId="0"/>
    <xf numFmtId="0" fontId="4" fillId="0" borderId="0"/>
    <xf numFmtId="164" fontId="5" fillId="0" borderId="0">
      <alignment vertical="center"/>
    </xf>
    <xf numFmtId="164" fontId="5" fillId="0" borderId="0">
      <alignment vertical="center"/>
    </xf>
    <xf numFmtId="0" fontId="3" fillId="0" borderId="0">
      <alignment horizontal="center" vertical="center" wrapText="1"/>
    </xf>
    <xf numFmtId="0" fontId="3" fillId="0" borderId="0">
      <alignment horizontal="center" vertical="center" wrapText="1"/>
    </xf>
    <xf numFmtId="0" fontId="2" fillId="0" borderId="1">
      <alignment horizontal="center" vertical="center" wrapText="1"/>
    </xf>
    <xf numFmtId="0" fontId="2" fillId="0" borderId="1">
      <alignment horizontal="center" vertical="center" wrapText="1"/>
    </xf>
    <xf numFmtId="164" fontId="3" fillId="2" borderId="1">
      <alignment vertical="center"/>
    </xf>
    <xf numFmtId="164" fontId="3" fillId="2" borderId="1">
      <alignment vertical="center"/>
    </xf>
    <xf numFmtId="0" fontId="4" fillId="3" borderId="1"/>
    <xf numFmtId="0" fontId="4" fillId="3" borderId="1"/>
    <xf numFmtId="0" fontId="4" fillId="0" borderId="1"/>
    <xf numFmtId="0" fontId="4" fillId="0" borderId="1"/>
    <xf numFmtId="164" fontId="2" fillId="0" borderId="4">
      <alignment horizontal="left" vertical="center" wrapText="1"/>
    </xf>
    <xf numFmtId="164" fontId="2" fillId="0" borderId="4">
      <alignment horizontal="left" vertical="center" wrapText="1"/>
    </xf>
    <xf numFmtId="164" fontId="2" fillId="0" borderId="0">
      <alignment horizontal="right" vertical="center"/>
    </xf>
    <xf numFmtId="164" fontId="2" fillId="0" borderId="0">
      <alignment horizontal="right" vertical="center"/>
    </xf>
    <xf numFmtId="0" fontId="2" fillId="0" borderId="3">
      <alignment horizontal="center" vertical="center" wrapText="1"/>
    </xf>
    <xf numFmtId="0" fontId="2" fillId="0" borderId="3">
      <alignment horizontal="center" vertical="center" wrapText="1"/>
    </xf>
    <xf numFmtId="4" fontId="3" fillId="2" borderId="3">
      <alignment horizontal="right" vertical="center"/>
    </xf>
    <xf numFmtId="4" fontId="3" fillId="2" borderId="3">
      <alignment horizontal="right" vertical="center"/>
    </xf>
    <xf numFmtId="4" fontId="4" fillId="3" borderId="3">
      <alignment horizontal="right"/>
    </xf>
    <xf numFmtId="4" fontId="4" fillId="3" borderId="3">
      <alignment horizontal="right"/>
    </xf>
    <xf numFmtId="4" fontId="4" fillId="0" borderId="3">
      <alignment horizontal="right"/>
    </xf>
    <xf numFmtId="4" fontId="4" fillId="0" borderId="3">
      <alignment horizontal="right"/>
    </xf>
    <xf numFmtId="4" fontId="3" fillId="2" borderId="1">
      <alignment horizontal="right" vertical="center"/>
    </xf>
    <xf numFmtId="4" fontId="3" fillId="2" borderId="1">
      <alignment horizontal="right" vertical="center"/>
    </xf>
    <xf numFmtId="4" fontId="4" fillId="3" borderId="1">
      <alignment horizontal="right"/>
    </xf>
    <xf numFmtId="4" fontId="4" fillId="3" borderId="1">
      <alignment horizontal="right"/>
    </xf>
    <xf numFmtId="4" fontId="4" fillId="0" borderId="1">
      <alignment horizontal="right"/>
    </xf>
    <xf numFmtId="4" fontId="4" fillId="0" borderId="1">
      <alignment horizontal="right"/>
    </xf>
    <xf numFmtId="164" fontId="2" fillId="0" borderId="0">
      <alignment horizontal="left" vertical="center" wrapText="1"/>
    </xf>
    <xf numFmtId="164" fontId="2" fillId="0" borderId="0">
      <alignment horizontal="left" vertical="center" wrapText="1"/>
    </xf>
    <xf numFmtId="164" fontId="3" fillId="5" borderId="4">
      <alignment horizontal="right" vertical="center"/>
    </xf>
    <xf numFmtId="164" fontId="3" fillId="5" borderId="4">
      <alignment horizontal="right" vertical="center"/>
    </xf>
    <xf numFmtId="164" fontId="2" fillId="0" borderId="0">
      <alignment horizontal="center" vertical="center"/>
    </xf>
    <xf numFmtId="164" fontId="2" fillId="0" borderId="0">
      <alignment horizontal="center" vertical="center"/>
    </xf>
    <xf numFmtId="164" fontId="2" fillId="0" borderId="0">
      <alignment horizontal="left" vertical="center"/>
    </xf>
    <xf numFmtId="164" fontId="2" fillId="0" borderId="0">
      <alignment horizontal="left" vertical="center"/>
    </xf>
    <xf numFmtId="0" fontId="3" fillId="0" borderId="1">
      <alignment horizontal="center" vertical="center" wrapText="1"/>
    </xf>
    <xf numFmtId="0" fontId="3" fillId="0" borderId="1">
      <alignment horizontal="center" vertical="center" wrapText="1"/>
    </xf>
    <xf numFmtId="164" fontId="3" fillId="5" borderId="0">
      <alignment horizontal="right" vertical="center"/>
    </xf>
    <xf numFmtId="164" fontId="3" fillId="5" borderId="0">
      <alignment horizontal="right" vertical="center"/>
    </xf>
    <xf numFmtId="0" fontId="2" fillId="0" borderId="0">
      <alignment horizontal="right" vertical="center" wrapText="1"/>
    </xf>
    <xf numFmtId="0" fontId="2" fillId="0" borderId="0">
      <alignment horizontal="right" vertical="center" wrapText="1"/>
    </xf>
    <xf numFmtId="0" fontId="2" fillId="0" borderId="0">
      <alignment horizontal="left" vertical="center" wrapText="1"/>
    </xf>
    <xf numFmtId="0" fontId="2" fillId="0" borderId="0">
      <alignment horizontal="left" vertical="center" wrapText="1"/>
    </xf>
    <xf numFmtId="0" fontId="6" fillId="6" borderId="0">
      <alignment horizontal="center" vertical="center" wrapText="1"/>
    </xf>
    <xf numFmtId="0" fontId="6" fillId="6" borderId="0">
      <alignment horizontal="center" vertical="center" wrapText="1"/>
    </xf>
    <xf numFmtId="0" fontId="2" fillId="0" borderId="2">
      <alignment horizontal="right" vertical="center"/>
    </xf>
    <xf numFmtId="0" fontId="2" fillId="0" borderId="2">
      <alignment horizontal="right" vertical="center"/>
    </xf>
    <xf numFmtId="0" fontId="3" fillId="0" borderId="1">
      <alignment horizontal="center" vertical="center"/>
    </xf>
    <xf numFmtId="0" fontId="3" fillId="0" borderId="1">
      <alignment horizontal="center" vertical="center"/>
    </xf>
    <xf numFmtId="164" fontId="2" fillId="0" borderId="0">
      <alignment vertical="center"/>
    </xf>
    <xf numFmtId="164" fontId="2" fillId="0" borderId="0">
      <alignment vertical="center"/>
    </xf>
    <xf numFmtId="0" fontId="2" fillId="0" borderId="0">
      <alignment horizontal="center" vertical="center"/>
    </xf>
    <xf numFmtId="0" fontId="2" fillId="0" borderId="0">
      <alignment horizontal="center" vertical="center"/>
    </xf>
    <xf numFmtId="164" fontId="2" fillId="6" borderId="0">
      <alignment vertical="center"/>
    </xf>
    <xf numFmtId="164" fontId="2" fillId="6" borderId="0">
      <alignment vertical="center"/>
    </xf>
    <xf numFmtId="0" fontId="4" fillId="0" borderId="5"/>
    <xf numFmtId="0" fontId="4" fillId="0" borderId="5"/>
    <xf numFmtId="165" fontId="2" fillId="6" borderId="0">
      <alignment vertical="center"/>
    </xf>
    <xf numFmtId="165" fontId="2" fillId="6" borderId="0">
      <alignment vertical="center"/>
    </xf>
    <xf numFmtId="0" fontId="2" fillId="2" borderId="0">
      <alignment vertical="center"/>
    </xf>
    <xf numFmtId="0" fontId="2" fillId="2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2" fillId="0" borderId="0"/>
    <xf numFmtId="0" fontId="2" fillId="0" borderId="0"/>
    <xf numFmtId="0" fontId="2" fillId="0" borderId="1">
      <alignment horizontal="center"/>
    </xf>
    <xf numFmtId="0" fontId="2" fillId="0" borderId="1">
      <alignment horizontal="center"/>
    </xf>
    <xf numFmtId="0" fontId="5" fillId="0" borderId="0"/>
    <xf numFmtId="0" fontId="5" fillId="0" borderId="0"/>
    <xf numFmtId="0" fontId="2" fillId="0" borderId="3">
      <alignment horizontal="center"/>
    </xf>
    <xf numFmtId="0" fontId="2" fillId="0" borderId="3">
      <alignment horizontal="center"/>
    </xf>
    <xf numFmtId="164" fontId="5" fillId="0" borderId="0"/>
    <xf numFmtId="164" fontId="5" fillId="0" borderId="0"/>
    <xf numFmtId="0" fontId="7" fillId="0" borderId="1">
      <alignment horizontal="center" vertical="center" wrapText="1"/>
    </xf>
    <xf numFmtId="0" fontId="7" fillId="0" borderId="1">
      <alignment horizontal="center" vertical="center" wrapText="1"/>
    </xf>
    <xf numFmtId="164" fontId="3" fillId="0" borderId="0">
      <alignment vertical="top" wrapText="1"/>
    </xf>
    <xf numFmtId="164" fontId="3" fillId="0" borderId="0">
      <alignment vertical="top" wrapText="1"/>
    </xf>
    <xf numFmtId="0" fontId="8" fillId="0" borderId="3">
      <alignment horizontal="center" vertical="center" wrapText="1"/>
    </xf>
    <xf numFmtId="0" fontId="8" fillId="0" borderId="3">
      <alignment horizontal="center" vertical="center" wrapText="1"/>
    </xf>
    <xf numFmtId="166" fontId="3" fillId="0" borderId="0">
      <alignment horizontal="left" vertical="top" wrapText="1"/>
    </xf>
    <xf numFmtId="166" fontId="3" fillId="0" borderId="0">
      <alignment horizontal="left" vertical="top" wrapText="1"/>
    </xf>
    <xf numFmtId="164" fontId="3" fillId="0" borderId="0">
      <alignment horizontal="left" vertical="top" wrapText="1"/>
    </xf>
    <xf numFmtId="164" fontId="3" fillId="0" borderId="0">
      <alignment horizontal="left" vertical="top" wrapText="1"/>
    </xf>
    <xf numFmtId="0" fontId="8" fillId="0" borderId="1">
      <alignment horizontal="center" vertical="center" wrapText="1"/>
    </xf>
    <xf numFmtId="0" fontId="8" fillId="0" borderId="1">
      <alignment horizontal="center" vertical="center" wrapText="1"/>
    </xf>
    <xf numFmtId="0" fontId="6" fillId="5" borderId="0">
      <alignment horizontal="center" vertical="center" wrapText="1"/>
    </xf>
    <xf numFmtId="0" fontId="6" fillId="5" borderId="0">
      <alignment horizontal="center" vertical="center" wrapText="1"/>
    </xf>
    <xf numFmtId="0" fontId="2" fillId="0" borderId="2"/>
    <xf numFmtId="0" fontId="2" fillId="0" borderId="2"/>
    <xf numFmtId="0" fontId="8" fillId="0" borderId="1">
      <alignment horizontal="center"/>
    </xf>
    <xf numFmtId="0" fontId="8" fillId="0" borderId="1">
      <alignment horizontal="center"/>
    </xf>
    <xf numFmtId="0" fontId="2" fillId="0" borderId="2">
      <alignment horizontal="right"/>
    </xf>
    <xf numFmtId="0" fontId="2" fillId="0" borderId="2">
      <alignment horizontal="right"/>
    </xf>
    <xf numFmtId="0" fontId="2" fillId="0" borderId="1"/>
    <xf numFmtId="0" fontId="2" fillId="0" borderId="1"/>
    <xf numFmtId="0" fontId="2" fillId="0" borderId="0">
      <alignment horizontal="center"/>
    </xf>
    <xf numFmtId="0" fontId="2" fillId="0" borderId="0">
      <alignment horizontal="center"/>
    </xf>
    <xf numFmtId="4" fontId="3" fillId="2" borderId="0">
      <alignment horizontal="right" vertical="center"/>
    </xf>
    <xf numFmtId="4" fontId="3" fillId="2" borderId="0">
      <alignment horizontal="right" vertical="center"/>
    </xf>
    <xf numFmtId="4" fontId="4" fillId="0" borderId="0">
      <alignment horizontal="right"/>
    </xf>
    <xf numFmtId="4" fontId="4" fillId="0" borderId="0">
      <alignment horizontal="right"/>
    </xf>
    <xf numFmtId="167" fontId="9" fillId="0" borderId="0" applyFont="0" applyFill="0" applyBorder="0" applyProtection="0"/>
    <xf numFmtId="0" fontId="1" fillId="0" borderId="0"/>
    <xf numFmtId="0" fontId="9" fillId="0" borderId="0"/>
    <xf numFmtId="0" fontId="4" fillId="0" borderId="0"/>
    <xf numFmtId="0" fontId="4" fillId="0" borderId="0"/>
    <xf numFmtId="0" fontId="9" fillId="7" borderId="1">
      <alignment horizontal="left" vertical="top" wrapText="1"/>
    </xf>
  </cellStyleXfs>
  <cellXfs count="309">
    <xf numFmtId="0" fontId="0" fillId="0" borderId="0" xfId="0"/>
    <xf numFmtId="0" fontId="0" fillId="0" borderId="0" xfId="0" applyProtection="1">
      <protection locked="0"/>
    </xf>
    <xf numFmtId="0" fontId="2" fillId="0" borderId="0" xfId="113" applyFont="1" applyProtection="1"/>
    <xf numFmtId="0" fontId="2" fillId="0" borderId="0" xfId="89" applyFont="1" applyAlignment="1" applyProtection="1">
      <alignment horizontal="right" vertical="center" wrapText="1"/>
    </xf>
    <xf numFmtId="0" fontId="3" fillId="0" borderId="0" xfId="49" applyFont="1" applyAlignment="1" applyProtection="1">
      <alignment horizontal="center" vertical="center" wrapText="1"/>
    </xf>
    <xf numFmtId="0" fontId="2" fillId="0" borderId="2" xfId="137" applyFont="1" applyBorder="1" applyProtection="1"/>
    <xf numFmtId="0" fontId="2" fillId="0" borderId="2" xfId="141" applyFont="1" applyBorder="1" applyAlignment="1" applyProtection="1">
      <alignment horizontal="right"/>
    </xf>
    <xf numFmtId="0" fontId="7" fillId="0" borderId="1" xfId="123" applyFont="1" applyBorder="1" applyAlignment="1" applyProtection="1">
      <alignment horizontal="center" vertical="center" wrapText="1"/>
    </xf>
    <xf numFmtId="0" fontId="2" fillId="0" borderId="1" xfId="143" applyFont="1" applyBorder="1" applyProtection="1"/>
    <xf numFmtId="0" fontId="3" fillId="0" borderId="2" xfId="35" applyFont="1" applyBorder="1" applyAlignment="1" applyProtection="1">
      <alignment vertical="center" wrapText="1"/>
    </xf>
    <xf numFmtId="0" fontId="2" fillId="0" borderId="1" xfId="115" applyFont="1" applyBorder="1" applyAlignment="1" applyProtection="1">
      <alignment horizontal="center"/>
    </xf>
    <xf numFmtId="0" fontId="2" fillId="0" borderId="3" xfId="119" applyFont="1" applyBorder="1" applyAlignment="1" applyProtection="1">
      <alignment horizontal="center"/>
    </xf>
    <xf numFmtId="0" fontId="2" fillId="0" borderId="1" xfId="51" applyFont="1" applyBorder="1" applyAlignment="1" applyProtection="1">
      <alignment horizontal="center" vertical="center" wrapText="1"/>
    </xf>
    <xf numFmtId="0" fontId="2" fillId="0" borderId="0" xfId="145" applyFont="1" applyAlignment="1" applyProtection="1">
      <alignment horizontal="center"/>
    </xf>
    <xf numFmtId="0" fontId="2" fillId="0" borderId="3" xfId="63" applyFont="1" applyBorder="1" applyAlignment="1" applyProtection="1">
      <alignment horizontal="center" vertical="center" wrapText="1"/>
    </xf>
    <xf numFmtId="0" fontId="2" fillId="0" borderId="1" xfId="23" applyFont="1" applyBorder="1" applyAlignment="1" applyProtection="1">
      <alignment horizontal="center" vertical="center"/>
    </xf>
    <xf numFmtId="0" fontId="5" fillId="2" borderId="1" xfId="25" applyFont="1" applyFill="1" applyBorder="1" applyAlignment="1" applyProtection="1">
      <alignment vertical="center"/>
    </xf>
    <xf numFmtId="168" fontId="5" fillId="2" borderId="3" xfId="39" applyNumberFormat="1" applyFont="1" applyFill="1" applyBorder="1" applyAlignment="1" applyProtection="1">
      <alignment vertical="center"/>
    </xf>
    <xf numFmtId="168" fontId="3" fillId="2" borderId="1" xfId="7" applyNumberFormat="1" applyFont="1" applyFill="1" applyBorder="1" applyAlignment="1" applyProtection="1">
      <alignment vertical="center" wrapText="1"/>
    </xf>
    <xf numFmtId="4" fontId="3" fillId="2" borderId="3" xfId="65" applyNumberFormat="1" applyFont="1" applyFill="1" applyBorder="1" applyAlignment="1" applyProtection="1">
      <alignment horizontal="right" vertical="center"/>
    </xf>
    <xf numFmtId="4" fontId="3" fillId="2" borderId="1" xfId="71" applyNumberFormat="1" applyFont="1" applyFill="1" applyBorder="1" applyAlignment="1" applyProtection="1">
      <alignment horizontal="right" vertical="center"/>
    </xf>
    <xf numFmtId="4" fontId="3" fillId="2" borderId="0" xfId="147" applyNumberFormat="1" applyFont="1" applyFill="1" applyAlignment="1" applyProtection="1">
      <alignment horizontal="right" vertical="center"/>
    </xf>
    <xf numFmtId="0" fontId="5" fillId="3" borderId="1" xfId="27" applyFont="1" applyFill="1" applyBorder="1" applyAlignment="1" applyProtection="1">
      <alignment vertical="center"/>
    </xf>
    <xf numFmtId="168" fontId="5" fillId="3" borderId="3" xfId="41" applyNumberFormat="1" applyFont="1" applyFill="1" applyBorder="1" applyAlignment="1" applyProtection="1">
      <alignment vertical="center"/>
    </xf>
    <xf numFmtId="0" fontId="4" fillId="3" borderId="1" xfId="9" applyFont="1" applyFill="1" applyBorder="1" applyAlignment="1" applyProtection="1">
      <alignment wrapText="1"/>
    </xf>
    <xf numFmtId="4" fontId="4" fillId="3" borderId="3" xfId="67" applyNumberFormat="1" applyFont="1" applyFill="1" applyBorder="1" applyAlignment="1" applyProtection="1">
      <alignment horizontal="right"/>
    </xf>
    <xf numFmtId="4" fontId="4" fillId="3" borderId="1" xfId="73" applyNumberFormat="1" applyFont="1" applyFill="1" applyBorder="1" applyAlignment="1" applyProtection="1">
      <alignment horizontal="right"/>
    </xf>
    <xf numFmtId="4" fontId="4" fillId="0" borderId="0" xfId="149" applyNumberFormat="1" applyFont="1" applyAlignment="1" applyProtection="1">
      <alignment horizontal="right"/>
    </xf>
    <xf numFmtId="0" fontId="5" fillId="0" borderId="1" xfId="29" applyFont="1" applyBorder="1" applyAlignment="1" applyProtection="1">
      <alignment vertical="center"/>
    </xf>
    <xf numFmtId="168" fontId="5" fillId="0" borderId="3" xfId="43" applyNumberFormat="1" applyFont="1" applyBorder="1" applyAlignment="1" applyProtection="1">
      <alignment vertical="center"/>
    </xf>
    <xf numFmtId="0" fontId="4" fillId="0" borderId="1" xfId="11" applyFont="1" applyBorder="1" applyAlignment="1" applyProtection="1">
      <alignment wrapText="1"/>
    </xf>
    <xf numFmtId="4" fontId="4" fillId="0" borderId="3" xfId="69" applyNumberFormat="1" applyFont="1" applyBorder="1" applyAlignment="1" applyProtection="1">
      <alignment horizontal="right"/>
    </xf>
    <xf numFmtId="4" fontId="4" fillId="0" borderId="1" xfId="75" applyNumberFormat="1" applyFont="1" applyBorder="1" applyAlignment="1" applyProtection="1">
      <alignment horizontal="right"/>
    </xf>
    <xf numFmtId="0" fontId="0" fillId="8" borderId="0" xfId="0" applyFill="1" applyProtection="1">
      <protection locked="0"/>
    </xf>
    <xf numFmtId="0" fontId="5" fillId="8" borderId="1" xfId="27" applyFont="1" applyFill="1" applyBorder="1" applyAlignment="1" applyProtection="1">
      <alignment vertical="center"/>
    </xf>
    <xf numFmtId="168" fontId="5" fillId="8" borderId="3" xfId="41" applyNumberFormat="1" applyFont="1" applyFill="1" applyBorder="1" applyAlignment="1" applyProtection="1">
      <alignment vertical="center"/>
    </xf>
    <xf numFmtId="0" fontId="4" fillId="8" borderId="1" xfId="9" applyFont="1" applyFill="1" applyBorder="1" applyAlignment="1" applyProtection="1">
      <alignment wrapText="1"/>
    </xf>
    <xf numFmtId="4" fontId="4" fillId="8" borderId="3" xfId="67" applyNumberFormat="1" applyFont="1" applyFill="1" applyBorder="1" applyAlignment="1" applyProtection="1">
      <alignment horizontal="right"/>
    </xf>
    <xf numFmtId="4" fontId="4" fillId="8" borderId="0" xfId="149" applyNumberFormat="1" applyFont="1" applyFill="1" applyAlignment="1" applyProtection="1">
      <alignment horizontal="right"/>
    </xf>
    <xf numFmtId="0" fontId="5" fillId="8" borderId="1" xfId="29" applyFont="1" applyFill="1" applyBorder="1" applyAlignment="1" applyProtection="1">
      <alignment vertical="center"/>
    </xf>
    <xf numFmtId="168" fontId="5" fillId="8" borderId="3" xfId="43" applyNumberFormat="1" applyFont="1" applyFill="1" applyBorder="1" applyAlignment="1" applyProtection="1">
      <alignment vertical="center"/>
    </xf>
    <xf numFmtId="0" fontId="4" fillId="8" borderId="1" xfId="11" applyFont="1" applyFill="1" applyBorder="1" applyAlignment="1" applyProtection="1">
      <alignment wrapText="1"/>
    </xf>
    <xf numFmtId="4" fontId="4" fillId="8" borderId="3" xfId="69" applyNumberFormat="1" applyFont="1" applyFill="1" applyBorder="1" applyAlignment="1" applyProtection="1">
      <alignment horizontal="right"/>
    </xf>
    <xf numFmtId="4" fontId="4" fillId="8" borderId="1" xfId="75" applyNumberFormat="1" applyFont="1" applyFill="1" applyBorder="1" applyAlignment="1" applyProtection="1">
      <alignment horizontal="right"/>
    </xf>
    <xf numFmtId="168" fontId="3" fillId="0" borderId="0" xfId="125" applyNumberFormat="1" applyFont="1" applyAlignment="1" applyProtection="1">
      <alignment vertical="top" wrapText="1"/>
    </xf>
    <xf numFmtId="0" fontId="5" fillId="0" borderId="0" xfId="117" applyFont="1" applyProtection="1"/>
    <xf numFmtId="168" fontId="5" fillId="0" borderId="0" xfId="121" applyNumberFormat="1" applyFont="1" applyProtection="1"/>
    <xf numFmtId="168" fontId="10" fillId="0" borderId="0" xfId="61" applyNumberFormat="1" applyFont="1" applyAlignment="1" applyProtection="1">
      <alignment horizontal="right" vertical="center"/>
    </xf>
    <xf numFmtId="0" fontId="10" fillId="0" borderId="0" xfId="113" applyFont="1" applyProtection="1"/>
    <xf numFmtId="0" fontId="10" fillId="0" borderId="2" xfId="113" applyFont="1" applyBorder="1" applyProtection="1"/>
    <xf numFmtId="168" fontId="10" fillId="0" borderId="0" xfId="81" applyNumberFormat="1" applyFont="1" applyAlignment="1" applyProtection="1">
      <alignment horizontal="center" vertical="center"/>
    </xf>
    <xf numFmtId="168" fontId="2" fillId="0" borderId="0" xfId="77" applyNumberFormat="1" applyFont="1" applyAlignment="1" applyProtection="1">
      <alignment horizontal="left" vertical="center" wrapText="1"/>
    </xf>
    <xf numFmtId="168" fontId="2" fillId="0" borderId="0" xfId="61" applyNumberFormat="1" applyFont="1" applyAlignment="1" applyProtection="1">
      <alignment horizontal="right" vertical="center"/>
    </xf>
    <xf numFmtId="168" fontId="2" fillId="0" borderId="0" xfId="81" applyNumberFormat="1" applyFont="1" applyAlignment="1" applyProtection="1">
      <alignment horizontal="center" vertical="center"/>
    </xf>
    <xf numFmtId="0" fontId="11" fillId="9" borderId="0" xfId="153" applyFont="1" applyFill="1"/>
    <xf numFmtId="0" fontId="2" fillId="9" borderId="0" xfId="153" applyFont="1" applyFill="1" applyAlignment="1">
      <alignment horizontal="center" vertical="center"/>
    </xf>
    <xf numFmtId="0" fontId="11" fillId="9" borderId="0" xfId="153" applyFont="1" applyFill="1" applyAlignment="1">
      <alignment horizontal="justify" vertical="center" shrinkToFit="1"/>
    </xf>
    <xf numFmtId="0" fontId="11" fillId="10" borderId="0" xfId="153" applyFont="1" applyFill="1"/>
    <xf numFmtId="0" fontId="3" fillId="9" borderId="6" xfId="153" applyFont="1" applyFill="1" applyBorder="1" applyAlignment="1">
      <alignment horizontal="center" vertical="center"/>
    </xf>
    <xf numFmtId="0" fontId="6" fillId="9" borderId="7" xfId="153" applyFont="1" applyFill="1" applyBorder="1" applyAlignment="1">
      <alignment horizontal="center" vertical="center" wrapText="1"/>
    </xf>
    <xf numFmtId="0" fontId="6" fillId="10" borderId="7" xfId="153" applyFont="1" applyFill="1" applyBorder="1" applyAlignment="1">
      <alignment horizontal="center" vertical="center" wrapText="1"/>
    </xf>
    <xf numFmtId="0" fontId="12" fillId="9" borderId="8" xfId="153" applyFont="1" applyFill="1" applyBorder="1" applyAlignment="1">
      <alignment horizontal="center" vertical="center"/>
    </xf>
    <xf numFmtId="0" fontId="12" fillId="9" borderId="0" xfId="153" applyFont="1" applyFill="1" applyAlignment="1">
      <alignment horizontal="center" vertical="center"/>
    </xf>
    <xf numFmtId="0" fontId="3" fillId="0" borderId="9" xfId="153" applyFont="1" applyBorder="1" applyAlignment="1">
      <alignment horizontal="center" vertical="center"/>
    </xf>
    <xf numFmtId="0" fontId="12" fillId="0" borderId="2" xfId="153" applyFont="1" applyBorder="1" applyAlignment="1">
      <alignment horizontal="center" vertical="center"/>
    </xf>
    <xf numFmtId="10" fontId="12" fillId="0" borderId="2" xfId="153" applyNumberFormat="1" applyFont="1" applyBorder="1" applyAlignment="1">
      <alignment horizontal="center" vertical="center"/>
    </xf>
    <xf numFmtId="0" fontId="11" fillId="0" borderId="0" xfId="153" applyFont="1"/>
    <xf numFmtId="4" fontId="11" fillId="0" borderId="0" xfId="153" applyNumberFormat="1" applyFont="1"/>
    <xf numFmtId="0" fontId="13" fillId="9" borderId="0" xfId="153" applyFont="1" applyFill="1"/>
    <xf numFmtId="0" fontId="2" fillId="0" borderId="1" xfId="153" applyFont="1" applyBorder="1" applyAlignment="1">
      <alignment horizontal="center" vertical="center"/>
    </xf>
    <xf numFmtId="0" fontId="11" fillId="0" borderId="1" xfId="153" applyFont="1" applyBorder="1" applyAlignment="1">
      <alignment horizontal="center" vertical="center" wrapText="1" shrinkToFit="1"/>
    </xf>
    <xf numFmtId="0" fontId="10" fillId="0" borderId="1" xfId="153" applyFont="1" applyBorder="1" applyAlignment="1">
      <alignment horizontal="center" vertical="center" wrapText="1" shrinkToFit="1"/>
    </xf>
    <xf numFmtId="0" fontId="13" fillId="0" borderId="1" xfId="153" applyFont="1" applyBorder="1" applyAlignment="1">
      <alignment horizontal="center" vertical="center" wrapText="1"/>
    </xf>
    <xf numFmtId="0" fontId="14" fillId="11" borderId="1" xfId="153" applyFont="1" applyFill="1" applyBorder="1" applyAlignment="1">
      <alignment horizontal="center" vertical="center" wrapText="1"/>
    </xf>
    <xf numFmtId="0" fontId="13" fillId="11" borderId="1" xfId="153" applyFont="1" applyFill="1" applyBorder="1" applyAlignment="1">
      <alignment horizontal="center" vertical="center" wrapText="1"/>
    </xf>
    <xf numFmtId="0" fontId="13" fillId="9" borderId="1" xfId="153" applyFont="1" applyFill="1" applyBorder="1" applyAlignment="1">
      <alignment horizontal="center" vertical="center" wrapText="1"/>
    </xf>
    <xf numFmtId="0" fontId="11" fillId="9" borderId="1" xfId="153" applyFont="1" applyFill="1" applyBorder="1" applyAlignment="1">
      <alignment horizontal="center" vertical="center" wrapText="1"/>
    </xf>
    <xf numFmtId="0" fontId="6" fillId="9" borderId="0" xfId="153" applyFont="1" applyFill="1"/>
    <xf numFmtId="0" fontId="3" fillId="0" borderId="10" xfId="153" applyFont="1" applyBorder="1" applyAlignment="1">
      <alignment horizontal="center" vertical="center"/>
    </xf>
    <xf numFmtId="0" fontId="6" fillId="0" borderId="1" xfId="153" applyFont="1" applyBorder="1" applyAlignment="1">
      <alignment vertical="center" wrapText="1" shrinkToFit="1"/>
    </xf>
    <xf numFmtId="4" fontId="6" fillId="0" borderId="1" xfId="151" applyNumberFormat="1" applyFont="1" applyBorder="1" applyAlignment="1">
      <alignment horizontal="center" vertical="center" wrapText="1"/>
    </xf>
    <xf numFmtId="4" fontId="6" fillId="11" borderId="1" xfId="151" applyNumberFormat="1" applyFont="1" applyFill="1" applyBorder="1" applyAlignment="1">
      <alignment horizontal="center" vertical="center" wrapText="1"/>
    </xf>
    <xf numFmtId="4" fontId="6" fillId="9" borderId="3" xfId="151" applyNumberFormat="1" applyFont="1" applyFill="1" applyBorder="1" applyAlignment="1">
      <alignment horizontal="center" vertical="center" wrapText="1"/>
    </xf>
    <xf numFmtId="4" fontId="6" fillId="11" borderId="3" xfId="151" applyNumberFormat="1" applyFont="1" applyFill="1" applyBorder="1" applyAlignment="1">
      <alignment horizontal="center" vertical="center" wrapText="1"/>
    </xf>
    <xf numFmtId="4" fontId="6" fillId="9" borderId="1" xfId="153" applyNumberFormat="1" applyFont="1" applyFill="1" applyBorder="1" applyAlignment="1">
      <alignment horizontal="center" vertical="center"/>
    </xf>
    <xf numFmtId="4" fontId="6" fillId="0" borderId="3" xfId="151" applyNumberFormat="1" applyFont="1" applyBorder="1" applyAlignment="1">
      <alignment horizontal="center" vertical="center" wrapText="1"/>
    </xf>
    <xf numFmtId="0" fontId="15" fillId="9" borderId="0" xfId="153" applyFont="1" applyFill="1"/>
    <xf numFmtId="0" fontId="2" fillId="0" borderId="10" xfId="153" applyFont="1" applyBorder="1" applyAlignment="1">
      <alignment horizontal="center" vertical="center"/>
    </xf>
    <xf numFmtId="0" fontId="2" fillId="0" borderId="1" xfId="153" applyFont="1" applyBorder="1" applyAlignment="1">
      <alignment vertical="center" wrapText="1" shrinkToFit="1"/>
    </xf>
    <xf numFmtId="0" fontId="11" fillId="0" borderId="1" xfId="153" applyFont="1" applyBorder="1" applyAlignment="1">
      <alignment vertical="center" wrapText="1" shrinkToFit="1"/>
    </xf>
    <xf numFmtId="4" fontId="11" fillId="0" borderId="1" xfId="151" applyNumberFormat="1" applyFont="1" applyBorder="1" applyAlignment="1">
      <alignment horizontal="center" vertical="center" wrapText="1"/>
    </xf>
    <xf numFmtId="4" fontId="11" fillId="9" borderId="3" xfId="151" applyNumberFormat="1" applyFont="1" applyFill="1" applyBorder="1" applyAlignment="1">
      <alignment horizontal="center" vertical="center" wrapText="1"/>
    </xf>
    <xf numFmtId="4" fontId="11" fillId="9" borderId="1" xfId="153" applyNumberFormat="1" applyFont="1" applyFill="1" applyBorder="1" applyAlignment="1">
      <alignment horizontal="center" vertical="center"/>
    </xf>
    <xf numFmtId="4" fontId="11" fillId="0" borderId="3" xfId="151" applyNumberFormat="1" applyFont="1" applyBorder="1" applyAlignment="1">
      <alignment horizontal="center" vertical="center" wrapText="1"/>
    </xf>
    <xf numFmtId="0" fontId="6" fillId="0" borderId="1" xfId="153" applyFont="1" applyBorder="1" applyAlignment="1">
      <alignment vertical="top" wrapText="1" shrinkToFit="1"/>
    </xf>
    <xf numFmtId="0" fontId="2" fillId="0" borderId="1" xfId="153" applyFont="1" applyBorder="1" applyAlignment="1">
      <alignment vertical="top" wrapText="1" shrinkToFit="1"/>
    </xf>
    <xf numFmtId="0" fontId="11" fillId="0" borderId="1" xfId="153" applyFont="1" applyBorder="1" applyAlignment="1">
      <alignment vertical="top" wrapText="1" shrinkToFit="1"/>
    </xf>
    <xf numFmtId="16" fontId="2" fillId="0" borderId="1" xfId="153" applyNumberFormat="1" applyFont="1" applyBorder="1" applyAlignment="1">
      <alignment vertical="top" wrapText="1" shrinkToFit="1"/>
    </xf>
    <xf numFmtId="16" fontId="11" fillId="0" borderId="1" xfId="153" applyNumberFormat="1" applyFont="1" applyBorder="1" applyAlignment="1">
      <alignment vertical="top" wrapText="1" shrinkToFit="1"/>
    </xf>
    <xf numFmtId="16" fontId="2" fillId="0" borderId="1" xfId="153" applyNumberFormat="1" applyFont="1" applyBorder="1" applyAlignment="1">
      <alignment vertical="center" wrapText="1" shrinkToFit="1"/>
    </xf>
    <xf numFmtId="16" fontId="11" fillId="0" borderId="1" xfId="153" applyNumberFormat="1" applyFont="1" applyBorder="1" applyAlignment="1">
      <alignment vertical="center" wrapText="1" shrinkToFit="1"/>
    </xf>
    <xf numFmtId="16" fontId="6" fillId="0" borderId="1" xfId="153" applyNumberFormat="1" applyFont="1" applyBorder="1" applyAlignment="1">
      <alignment vertical="center" wrapText="1" shrinkToFit="1"/>
    </xf>
    <xf numFmtId="4" fontId="6" fillId="9" borderId="1" xfId="151" applyNumberFormat="1" applyFont="1" applyFill="1" applyBorder="1" applyAlignment="1">
      <alignment horizontal="center" vertical="center" wrapText="1"/>
    </xf>
    <xf numFmtId="0" fontId="2" fillId="0" borderId="10" xfId="155" applyFont="1" applyBorder="1" applyAlignment="1" applyProtection="1">
      <alignment horizontal="left" vertical="center"/>
      <protection hidden="1"/>
    </xf>
    <xf numFmtId="0" fontId="2" fillId="0" borderId="3" xfId="153" applyFont="1" applyBorder="1" applyAlignment="1">
      <alignment vertical="center" wrapText="1" shrinkToFit="1"/>
    </xf>
    <xf numFmtId="0" fontId="11" fillId="0" borderId="3" xfId="153" applyFont="1" applyBorder="1" applyAlignment="1">
      <alignment vertical="center" wrapText="1" shrinkToFit="1"/>
    </xf>
    <xf numFmtId="0" fontId="2" fillId="0" borderId="10" xfId="154" applyFont="1" applyBorder="1" applyAlignment="1" applyProtection="1">
      <alignment horizontal="left" vertical="center"/>
      <protection hidden="1"/>
    </xf>
    <xf numFmtId="4" fontId="11" fillId="9" borderId="1" xfId="151" applyNumberFormat="1" applyFont="1" applyFill="1" applyBorder="1" applyAlignment="1">
      <alignment horizontal="center" vertical="center" wrapText="1"/>
    </xf>
    <xf numFmtId="0" fontId="2" fillId="0" borderId="3" xfId="156" applyFont="1" applyFill="1" applyBorder="1" applyAlignment="1">
      <alignment vertical="top" wrapText="1" shrinkToFit="1"/>
    </xf>
    <xf numFmtId="0" fontId="11" fillId="0" borderId="3" xfId="156" applyFont="1" applyFill="1" applyBorder="1" applyAlignment="1">
      <alignment vertical="top" wrapText="1" shrinkToFit="1"/>
    </xf>
    <xf numFmtId="0" fontId="6" fillId="0" borderId="1" xfId="153" applyFont="1" applyBorder="1" applyAlignment="1">
      <alignment vertical="center" wrapText="1"/>
    </xf>
    <xf numFmtId="0" fontId="2" fillId="0" borderId="1" xfId="153" applyFont="1" applyBorder="1" applyAlignment="1">
      <alignment vertical="center" wrapText="1"/>
    </xf>
    <xf numFmtId="0" fontId="11" fillId="0" borderId="1" xfId="153" applyFont="1" applyBorder="1" applyAlignment="1">
      <alignment vertical="center" wrapText="1"/>
    </xf>
    <xf numFmtId="0" fontId="2" fillId="0" borderId="0" xfId="153" applyFont="1" applyAlignment="1">
      <alignment wrapText="1"/>
    </xf>
    <xf numFmtId="0" fontId="11" fillId="0" borderId="0" xfId="153" applyFont="1" applyAlignment="1">
      <alignment wrapText="1"/>
    </xf>
    <xf numFmtId="0" fontId="2" fillId="0" borderId="10" xfId="153" applyFont="1" applyBorder="1" applyAlignment="1">
      <alignment horizontal="center" vertical="center" wrapText="1"/>
    </xf>
    <xf numFmtId="0" fontId="2" fillId="0" borderId="11" xfId="155" applyFont="1" applyBorder="1" applyAlignment="1" applyProtection="1">
      <alignment horizontal="left" vertical="center"/>
      <protection hidden="1"/>
    </xf>
    <xf numFmtId="0" fontId="2" fillId="0" borderId="12" xfId="155" applyFont="1" applyBorder="1" applyAlignment="1" applyProtection="1">
      <alignment horizontal="left" vertical="top" wrapText="1"/>
      <protection hidden="1"/>
    </xf>
    <xf numFmtId="0" fontId="16" fillId="0" borderId="1" xfId="153" applyFont="1" applyBorder="1" applyAlignment="1">
      <alignment vertical="center" wrapText="1" shrinkToFit="1"/>
    </xf>
    <xf numFmtId="14" fontId="11" fillId="0" borderId="1" xfId="153" applyNumberFormat="1" applyFont="1" applyBorder="1" applyAlignment="1">
      <alignment vertical="center" wrapText="1" shrinkToFit="1"/>
    </xf>
    <xf numFmtId="4" fontId="6" fillId="9" borderId="13" xfId="151" applyNumberFormat="1" applyFont="1" applyFill="1" applyBorder="1" applyAlignment="1">
      <alignment horizontal="center" vertical="center" wrapText="1"/>
    </xf>
    <xf numFmtId="4" fontId="6" fillId="0" borderId="13" xfId="151" applyNumberFormat="1" applyFont="1" applyBorder="1" applyAlignment="1">
      <alignment horizontal="center" vertical="center" wrapText="1"/>
    </xf>
    <xf numFmtId="4" fontId="11" fillId="8" borderId="1" xfId="151" applyNumberFormat="1" applyFont="1" applyFill="1" applyBorder="1" applyAlignment="1">
      <alignment vertical="center" wrapText="1"/>
    </xf>
    <xf numFmtId="4" fontId="11" fillId="9" borderId="1" xfId="151" applyNumberFormat="1" applyFont="1" applyFill="1" applyBorder="1" applyAlignment="1">
      <alignment vertical="center" wrapText="1"/>
    </xf>
    <xf numFmtId="4" fontId="11" fillId="9" borderId="3" xfId="151" applyNumberFormat="1" applyFont="1" applyFill="1" applyBorder="1" applyAlignment="1">
      <alignment vertical="center" wrapText="1"/>
    </xf>
    <xf numFmtId="169" fontId="11" fillId="9" borderId="1" xfId="0" applyNumberFormat="1" applyFont="1" applyFill="1" applyBorder="1" applyAlignment="1">
      <alignment vertical="center" wrapText="1"/>
    </xf>
    <xf numFmtId="4" fontId="6" fillId="11" borderId="14" xfId="151" applyNumberFormat="1" applyFont="1" applyFill="1" applyBorder="1" applyAlignment="1">
      <alignment horizontal="center" vertical="center" wrapText="1"/>
    </xf>
    <xf numFmtId="4" fontId="11" fillId="9" borderId="3" xfId="153" applyNumberFormat="1" applyFont="1" applyFill="1" applyBorder="1" applyAlignment="1">
      <alignment vertical="center"/>
    </xf>
    <xf numFmtId="4" fontId="11" fillId="9" borderId="13" xfId="151" applyNumberFormat="1" applyFont="1" applyFill="1" applyBorder="1" applyAlignment="1">
      <alignment horizontal="center" vertical="center" wrapText="1"/>
    </xf>
    <xf numFmtId="169" fontId="11" fillId="8" borderId="1" xfId="0" applyNumberFormat="1" applyFont="1" applyFill="1" applyBorder="1" applyAlignment="1">
      <alignment horizontal="center" vertical="center" wrapText="1"/>
    </xf>
    <xf numFmtId="169" fontId="11" fillId="9" borderId="3" xfId="0" applyNumberFormat="1" applyFont="1" applyFill="1" applyBorder="1" applyAlignment="1">
      <alignment horizontal="center" vertical="center" wrapText="1"/>
    </xf>
    <xf numFmtId="4" fontId="6" fillId="11" borderId="5" xfId="151" applyNumberFormat="1" applyFont="1" applyFill="1" applyBorder="1" applyAlignment="1">
      <alignment horizontal="center" vertical="center" wrapText="1"/>
    </xf>
    <xf numFmtId="0" fontId="16" fillId="0" borderId="1" xfId="153" applyFont="1" applyBorder="1" applyAlignment="1">
      <alignment horizontal="left" vertical="center" wrapText="1"/>
    </xf>
    <xf numFmtId="0" fontId="11" fillId="0" borderId="1" xfId="153" applyFont="1" applyBorder="1" applyAlignment="1">
      <alignment horizontal="left" vertical="center" wrapText="1"/>
    </xf>
    <xf numFmtId="169" fontId="11" fillId="9" borderId="1" xfId="0" applyNumberFormat="1" applyFont="1" applyFill="1" applyBorder="1" applyAlignment="1">
      <alignment horizontal="center" vertical="center" wrapText="1"/>
    </xf>
    <xf numFmtId="4" fontId="11" fillId="9" borderId="3" xfId="153" applyNumberFormat="1" applyFont="1" applyFill="1" applyBorder="1" applyAlignment="1">
      <alignment horizontal="center" vertical="center"/>
    </xf>
    <xf numFmtId="0" fontId="16" fillId="0" borderId="0" xfId="153" applyFont="1" applyAlignment="1">
      <alignment horizontal="left" wrapText="1"/>
    </xf>
    <xf numFmtId="0" fontId="11" fillId="0" borderId="0" xfId="153" applyFont="1" applyAlignment="1">
      <alignment horizontal="left" vertical="center" wrapText="1"/>
    </xf>
    <xf numFmtId="0" fontId="2" fillId="0" borderId="10" xfId="153" applyFont="1" applyBorder="1" applyAlignment="1">
      <alignment horizontal="center" wrapText="1"/>
    </xf>
    <xf numFmtId="0" fontId="16" fillId="0" borderId="1" xfId="153" applyFont="1" applyBorder="1" applyAlignment="1">
      <alignment horizontal="left" wrapText="1"/>
    </xf>
    <xf numFmtId="4" fontId="11" fillId="8" borderId="1" xfId="151" applyNumberFormat="1" applyFont="1" applyFill="1" applyBorder="1" applyAlignment="1">
      <alignment horizontal="center" vertical="center" wrapText="1"/>
    </xf>
    <xf numFmtId="0" fontId="2" fillId="9" borderId="10" xfId="153" applyFont="1" applyFill="1" applyBorder="1" applyAlignment="1">
      <alignment horizontal="center" vertical="center"/>
    </xf>
    <xf numFmtId="0" fontId="16" fillId="9" borderId="1" xfId="153" applyFont="1" applyFill="1" applyBorder="1" applyAlignment="1">
      <alignment vertical="center" wrapText="1" shrinkToFit="1"/>
    </xf>
    <xf numFmtId="0" fontId="11" fillId="9" borderId="1" xfId="153" applyFont="1" applyFill="1" applyBorder="1" applyAlignment="1">
      <alignment vertical="center" wrapText="1" shrinkToFit="1"/>
    </xf>
    <xf numFmtId="4" fontId="6" fillId="9" borderId="5" xfId="151" applyNumberFormat="1" applyFont="1" applyFill="1" applyBorder="1" applyAlignment="1">
      <alignment horizontal="center" vertical="center" wrapText="1"/>
    </xf>
    <xf numFmtId="4" fontId="6" fillId="9" borderId="14" xfId="151" applyNumberFormat="1" applyFont="1" applyFill="1" applyBorder="1" applyAlignment="1">
      <alignment horizontal="center" vertical="center" wrapText="1"/>
    </xf>
    <xf numFmtId="17" fontId="11" fillId="0" borderId="1" xfId="153" applyNumberFormat="1" applyFont="1" applyBorder="1" applyAlignment="1">
      <alignment vertical="center" wrapText="1" shrinkToFit="1"/>
    </xf>
    <xf numFmtId="0" fontId="11" fillId="8" borderId="0" xfId="153" applyFont="1" applyFill="1"/>
    <xf numFmtId="0" fontId="11" fillId="0" borderId="0" xfId="153" applyFont="1" applyAlignment="1">
      <alignment vertical="center" wrapText="1" shrinkToFit="1"/>
    </xf>
    <xf numFmtId="170" fontId="11" fillId="0" borderId="1" xfId="0" applyNumberFormat="1" applyFont="1" applyBorder="1" applyAlignment="1">
      <alignment horizontal="center" vertical="center" wrapText="1"/>
    </xf>
    <xf numFmtId="170" fontId="11" fillId="9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top" wrapText="1"/>
    </xf>
    <xf numFmtId="4" fontId="11" fillId="8" borderId="0" xfId="151" applyNumberFormat="1" applyFont="1" applyFill="1" applyAlignment="1">
      <alignment horizontal="center" vertical="center" wrapText="1"/>
    </xf>
    <xf numFmtId="4" fontId="11" fillId="9" borderId="14" xfId="151" applyNumberFormat="1" applyFont="1" applyFill="1" applyBorder="1" applyAlignment="1">
      <alignment horizontal="center" vertical="center" wrapText="1"/>
    </xf>
    <xf numFmtId="4" fontId="11" fillId="9" borderId="0" xfId="151" applyNumberFormat="1" applyFont="1" applyFill="1" applyAlignment="1">
      <alignment horizontal="center" vertical="center" wrapText="1"/>
    </xf>
    <xf numFmtId="0" fontId="6" fillId="0" borderId="0" xfId="153" applyFont="1"/>
    <xf numFmtId="0" fontId="6" fillId="9" borderId="13" xfId="151" applyNumberFormat="1" applyFont="1" applyFill="1" applyBorder="1" applyAlignment="1">
      <alignment horizontal="center" vertical="center" wrapText="1"/>
    </xf>
    <xf numFmtId="0" fontId="6" fillId="9" borderId="1" xfId="151" applyNumberFormat="1" applyFont="1" applyFill="1" applyBorder="1" applyAlignment="1">
      <alignment horizontal="center" vertical="center" wrapText="1"/>
    </xf>
    <xf numFmtId="49" fontId="11" fillId="0" borderId="1" xfId="153" applyNumberFormat="1" applyFont="1" applyBorder="1" applyAlignment="1">
      <alignment horizontal="left" vertical="center" wrapText="1" shrinkToFit="1"/>
    </xf>
    <xf numFmtId="49" fontId="2" fillId="0" borderId="10" xfId="153" applyNumberFormat="1" applyFont="1" applyBorder="1" applyAlignment="1">
      <alignment horizontal="center" vertical="center"/>
    </xf>
    <xf numFmtId="49" fontId="16" fillId="0" borderId="1" xfId="153" applyNumberFormat="1" applyFont="1" applyBorder="1" applyAlignment="1">
      <alignment vertical="center" wrapText="1" shrinkToFit="1"/>
    </xf>
    <xf numFmtId="49" fontId="11" fillId="0" borderId="1" xfId="153" applyNumberFormat="1" applyFont="1" applyBorder="1" applyAlignment="1">
      <alignment vertical="center" wrapText="1" shrinkToFit="1"/>
    </xf>
    <xf numFmtId="169" fontId="11" fillId="0" borderId="1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6" fillId="0" borderId="1" xfId="153" applyFont="1" applyBorder="1" applyAlignment="1">
      <alignment horizontal="left" vertical="center" wrapText="1" shrinkToFit="1"/>
    </xf>
    <xf numFmtId="171" fontId="6" fillId="0" borderId="1" xfId="151" applyNumberFormat="1" applyFont="1" applyBorder="1" applyAlignment="1">
      <alignment horizontal="center" vertical="center"/>
    </xf>
    <xf numFmtId="4" fontId="6" fillId="9" borderId="1" xfId="151" applyNumberFormat="1" applyFont="1" applyFill="1" applyBorder="1" applyAlignment="1">
      <alignment horizontal="center" vertical="center"/>
    </xf>
    <xf numFmtId="0" fontId="17" fillId="9" borderId="0" xfId="153" applyFont="1" applyFill="1" applyAlignment="1">
      <alignment vertical="center" shrinkToFit="1"/>
    </xf>
    <xf numFmtId="0" fontId="17" fillId="9" borderId="15" xfId="153" applyFont="1" applyFill="1" applyBorder="1" applyAlignment="1">
      <alignment vertical="center" shrinkToFit="1"/>
    </xf>
    <xf numFmtId="0" fontId="17" fillId="9" borderId="0" xfId="153" applyFont="1" applyFill="1" applyAlignment="1">
      <alignment horizontal="justify" vertical="center" shrinkToFit="1"/>
    </xf>
    <xf numFmtId="0" fontId="18" fillId="9" borderId="0" xfId="153" applyFont="1" applyFill="1" applyAlignment="1">
      <alignment horizontal="center"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left" vertical="center"/>
    </xf>
    <xf numFmtId="0" fontId="16" fillId="0" borderId="0" xfId="0" applyFont="1" applyAlignment="1">
      <alignment horizontal="center" vertical="center"/>
    </xf>
    <xf numFmtId="0" fontId="16" fillId="0" borderId="0" xfId="0" applyFont="1" applyAlignment="1">
      <alignment horizontal="right" vertical="center"/>
    </xf>
    <xf numFmtId="0" fontId="16" fillId="0" borderId="16" xfId="0" applyFont="1" applyBorder="1" applyAlignment="1">
      <alignment horizontal="left" vertical="center" wrapText="1"/>
    </xf>
    <xf numFmtId="4" fontId="16" fillId="0" borderId="16" xfId="0" applyNumberFormat="1" applyFont="1" applyBorder="1" applyAlignment="1">
      <alignment horizontal="center" vertical="center"/>
    </xf>
    <xf numFmtId="4" fontId="16" fillId="9" borderId="16" xfId="0" applyNumberFormat="1" applyFont="1" applyFill="1" applyBorder="1" applyAlignment="1">
      <alignment horizontal="center" vertical="center"/>
    </xf>
    <xf numFmtId="0" fontId="16" fillId="0" borderId="5" xfId="0" applyFont="1" applyBorder="1" applyAlignment="1">
      <alignment vertical="center"/>
    </xf>
    <xf numFmtId="172" fontId="16" fillId="0" borderId="0" xfId="0" applyNumberFormat="1" applyFont="1" applyAlignment="1">
      <alignment vertical="center"/>
    </xf>
    <xf numFmtId="173" fontId="16" fillId="0" borderId="16" xfId="0" applyNumberFormat="1" applyFont="1" applyBorder="1" applyAlignment="1">
      <alignment horizontal="center" vertical="center"/>
    </xf>
    <xf numFmtId="4" fontId="16" fillId="12" borderId="16" xfId="0" applyNumberFormat="1" applyFont="1" applyFill="1" applyBorder="1" applyAlignment="1">
      <alignment horizontal="center" vertical="center"/>
    </xf>
    <xf numFmtId="4" fontId="16" fillId="13" borderId="16" xfId="0" applyNumberFormat="1" applyFont="1" applyFill="1" applyBorder="1" applyAlignment="1">
      <alignment horizontal="center" vertical="center"/>
    </xf>
    <xf numFmtId="0" fontId="16" fillId="0" borderId="5" xfId="0" applyFont="1" applyBorder="1" applyAlignment="1">
      <alignment vertical="center" wrapText="1"/>
    </xf>
    <xf numFmtId="0" fontId="16" fillId="0" borderId="0" xfId="0" applyFont="1" applyAlignment="1">
      <alignment vertical="center" wrapText="1"/>
    </xf>
    <xf numFmtId="4" fontId="16" fillId="14" borderId="16" xfId="0" applyNumberFormat="1" applyFont="1" applyFill="1" applyBorder="1" applyAlignment="1">
      <alignment horizontal="center" vertical="center"/>
    </xf>
    <xf numFmtId="4" fontId="16" fillId="15" borderId="16" xfId="0" applyNumberFormat="1" applyFont="1" applyFill="1" applyBorder="1" applyAlignment="1">
      <alignment horizontal="center" vertical="center"/>
    </xf>
    <xf numFmtId="4" fontId="16" fillId="16" borderId="16" xfId="0" applyNumberFormat="1" applyFont="1" applyFill="1" applyBorder="1" applyAlignment="1">
      <alignment horizontal="center" vertical="center"/>
    </xf>
    <xf numFmtId="4" fontId="16" fillId="0" borderId="5" xfId="0" applyNumberFormat="1" applyFont="1" applyBorder="1" applyAlignment="1">
      <alignment vertical="center"/>
    </xf>
    <xf numFmtId="0" fontId="16" fillId="8" borderId="16" xfId="0" applyFont="1" applyFill="1" applyBorder="1" applyAlignment="1">
      <alignment horizontal="left" vertical="center" wrapText="1"/>
    </xf>
    <xf numFmtId="4" fontId="16" fillId="8" borderId="16" xfId="0" applyNumberFormat="1" applyFont="1" applyFill="1" applyBorder="1" applyAlignment="1">
      <alignment horizontal="center" vertical="center"/>
    </xf>
    <xf numFmtId="173" fontId="16" fillId="8" borderId="16" xfId="0" applyNumberFormat="1" applyFont="1" applyFill="1" applyBorder="1" applyAlignment="1">
      <alignment horizontal="center" vertical="center"/>
    </xf>
    <xf numFmtId="0" fontId="16" fillId="8" borderId="16" xfId="0" applyFont="1" applyFill="1" applyBorder="1" applyAlignment="1">
      <alignment horizontal="right" vertical="center" wrapText="1"/>
    </xf>
    <xf numFmtId="0" fontId="16" fillId="0" borderId="17" xfId="0" applyFont="1" applyBorder="1" applyAlignment="1">
      <alignment vertical="center"/>
    </xf>
    <xf numFmtId="0" fontId="16" fillId="0" borderId="16" xfId="0" applyFont="1" applyBorder="1" applyAlignment="1">
      <alignment horizontal="right" vertical="center" wrapText="1"/>
    </xf>
    <xf numFmtId="4" fontId="16" fillId="15" borderId="0" xfId="0" applyNumberFormat="1" applyFont="1" applyFill="1" applyAlignment="1">
      <alignment horizontal="center" vertical="center"/>
    </xf>
    <xf numFmtId="0" fontId="16" fillId="0" borderId="16" xfId="0" applyFont="1" applyBorder="1" applyAlignment="1">
      <alignment vertical="center"/>
    </xf>
    <xf numFmtId="4" fontId="16" fillId="0" borderId="16" xfId="0" applyNumberFormat="1" applyFont="1" applyBorder="1" applyAlignment="1">
      <alignment vertical="center"/>
    </xf>
    <xf numFmtId="4" fontId="19" fillId="0" borderId="16" xfId="0" applyNumberFormat="1" applyFont="1" applyBorder="1" applyAlignment="1">
      <alignment horizontal="center" vertical="center"/>
    </xf>
    <xf numFmtId="4" fontId="16" fillId="0" borderId="0" xfId="0" applyNumberFormat="1" applyFont="1" applyAlignment="1">
      <alignment vertical="center"/>
    </xf>
    <xf numFmtId="0" fontId="20" fillId="0" borderId="16" xfId="0" applyFont="1" applyBorder="1" applyAlignment="1">
      <alignment horizontal="left" vertical="center"/>
    </xf>
    <xf numFmtId="0" fontId="16" fillId="0" borderId="16" xfId="0" applyFont="1" applyBorder="1" applyAlignment="1">
      <alignment horizontal="center" vertical="center"/>
    </xf>
    <xf numFmtId="0" fontId="20" fillId="0" borderId="16" xfId="0" applyFont="1" applyBorder="1" applyAlignment="1">
      <alignment horizontal="center" vertical="center"/>
    </xf>
    <xf numFmtId="0" fontId="20" fillId="0" borderId="16" xfId="0" applyFont="1" applyBorder="1" applyAlignment="1">
      <alignment horizontal="center" vertical="center" wrapText="1"/>
    </xf>
    <xf numFmtId="4" fontId="21" fillId="9" borderId="16" xfId="0" applyNumberFormat="1" applyFont="1" applyFill="1" applyBorder="1" applyAlignment="1">
      <alignment horizontal="right" vertical="center"/>
    </xf>
    <xf numFmtId="0" fontId="16" fillId="9" borderId="16" xfId="0" applyFont="1" applyFill="1" applyBorder="1" applyAlignment="1">
      <alignment vertical="center" wrapText="1"/>
    </xf>
    <xf numFmtId="4" fontId="16" fillId="9" borderId="16" xfId="0" applyNumberFormat="1" applyFont="1" applyFill="1" applyBorder="1" applyAlignment="1">
      <alignment vertical="center"/>
    </xf>
    <xf numFmtId="0" fontId="16" fillId="9" borderId="16" xfId="0" applyFont="1" applyFill="1" applyBorder="1" applyAlignment="1">
      <alignment horizontal="left" vertical="center" wrapText="1"/>
    </xf>
    <xf numFmtId="0" fontId="19" fillId="0" borderId="16" xfId="0" applyFont="1" applyBorder="1" applyAlignment="1">
      <alignment horizontal="center" vertical="center"/>
    </xf>
    <xf numFmtId="4" fontId="16" fillId="8" borderId="16" xfId="0" applyNumberFormat="1" applyFont="1" applyFill="1" applyBorder="1" applyAlignment="1">
      <alignment vertical="center"/>
    </xf>
    <xf numFmtId="0" fontId="20" fillId="8" borderId="16" xfId="0" applyFont="1" applyFill="1" applyBorder="1" applyAlignment="1">
      <alignment horizontal="left" vertical="center" wrapText="1"/>
    </xf>
    <xf numFmtId="4" fontId="20" fillId="8" borderId="16" xfId="0" applyNumberFormat="1" applyFont="1" applyFill="1" applyBorder="1" applyAlignment="1">
      <alignment horizontal="center" vertical="center"/>
    </xf>
    <xf numFmtId="4" fontId="20" fillId="8" borderId="16" xfId="0" applyNumberFormat="1" applyFont="1" applyFill="1" applyBorder="1" applyAlignment="1">
      <alignment horizontal="right" vertical="center"/>
    </xf>
    <xf numFmtId="4" fontId="20" fillId="8" borderId="16" xfId="0" applyNumberFormat="1" applyFont="1" applyFill="1" applyBorder="1" applyAlignment="1">
      <alignment vertical="center"/>
    </xf>
    <xf numFmtId="0" fontId="16" fillId="8" borderId="16" xfId="0" applyFont="1" applyFill="1" applyBorder="1" applyAlignment="1">
      <alignment horizontal="center" vertical="center"/>
    </xf>
    <xf numFmtId="0" fontId="16" fillId="0" borderId="16" xfId="0" applyFont="1" applyBorder="1" applyAlignment="1">
      <alignment horizontal="center" vertical="center" wrapText="1"/>
    </xf>
    <xf numFmtId="4" fontId="16" fillId="9" borderId="16" xfId="0" applyNumberFormat="1" applyFont="1" applyFill="1" applyBorder="1" applyAlignment="1">
      <alignment horizontal="center" vertical="center" wrapText="1"/>
    </xf>
    <xf numFmtId="49" fontId="19" fillId="0" borderId="16" xfId="0" applyNumberFormat="1" applyFont="1" applyBorder="1" applyAlignment="1">
      <alignment horizontal="right" vertical="center" wrapText="1"/>
    </xf>
    <xf numFmtId="173" fontId="22" fillId="0" borderId="0" xfId="0" applyNumberFormat="1" applyFont="1" applyAlignment="1">
      <alignment vertical="center"/>
    </xf>
    <xf numFmtId="0" fontId="22" fillId="0" borderId="0" xfId="0" applyFont="1" applyAlignment="1">
      <alignment vertical="center"/>
    </xf>
    <xf numFmtId="4" fontId="16" fillId="0" borderId="16" xfId="0" applyNumberFormat="1" applyFont="1" applyBorder="1" applyAlignment="1">
      <alignment horizontal="right" vertical="center"/>
    </xf>
    <xf numFmtId="4" fontId="16" fillId="0" borderId="16" xfId="0" applyNumberFormat="1" applyFont="1" applyBorder="1" applyAlignment="1">
      <alignment horizontal="center" vertical="center" wrapText="1"/>
    </xf>
    <xf numFmtId="4" fontId="21" fillId="0" borderId="16" xfId="0" applyNumberFormat="1" applyFont="1" applyBorder="1" applyAlignment="1">
      <alignment horizontal="right" vertical="center"/>
    </xf>
    <xf numFmtId="4" fontId="16" fillId="0" borderId="16" xfId="0" applyNumberFormat="1" applyFont="1" applyBorder="1" applyAlignment="1">
      <alignment vertical="center" wrapText="1"/>
    </xf>
    <xf numFmtId="4" fontId="19" fillId="0" borderId="16" xfId="0" applyNumberFormat="1" applyFont="1" applyBorder="1" applyAlignment="1">
      <alignment horizontal="center" vertical="center" wrapText="1"/>
    </xf>
    <xf numFmtId="4" fontId="21" fillId="9" borderId="16" xfId="0" applyNumberFormat="1" applyFont="1" applyFill="1" applyBorder="1" applyAlignment="1">
      <alignment horizontal="right" vertical="center" wrapText="1"/>
    </xf>
    <xf numFmtId="0" fontId="16" fillId="0" borderId="16" xfId="0" applyFont="1" applyBorder="1" applyAlignment="1">
      <alignment horizontal="left" vertical="center"/>
    </xf>
    <xf numFmtId="4" fontId="19" fillId="0" borderId="0" xfId="0" applyNumberFormat="1" applyFont="1" applyAlignment="1">
      <alignment vertical="center"/>
    </xf>
    <xf numFmtId="0" fontId="19" fillId="0" borderId="0" xfId="0" applyFont="1" applyAlignment="1">
      <alignment vertical="center"/>
    </xf>
    <xf numFmtId="4" fontId="21" fillId="9" borderId="16" xfId="0" applyNumberFormat="1" applyFont="1" applyFill="1" applyBorder="1" applyAlignment="1">
      <alignment vertical="center"/>
    </xf>
    <xf numFmtId="49" fontId="21" fillId="0" borderId="16" xfId="0" applyNumberFormat="1" applyFont="1" applyBorder="1" applyAlignment="1">
      <alignment horizontal="left" vertical="center" wrapText="1"/>
    </xf>
    <xf numFmtId="0" fontId="20" fillId="0" borderId="16" xfId="0" applyFont="1" applyBorder="1" applyAlignment="1">
      <alignment horizontal="left" vertical="center" wrapText="1"/>
    </xf>
    <xf numFmtId="4" fontId="20" fillId="0" borderId="16" xfId="0" applyNumberFormat="1" applyFont="1" applyBorder="1" applyAlignment="1">
      <alignment vertical="center"/>
    </xf>
    <xf numFmtId="0" fontId="16" fillId="0" borderId="16" xfId="0" applyFont="1" applyBorder="1" applyAlignment="1">
      <alignment horizontal="right" vertical="center"/>
    </xf>
    <xf numFmtId="173" fontId="16" fillId="0" borderId="0" xfId="0" applyNumberFormat="1" applyFont="1" applyAlignment="1">
      <alignment vertical="center"/>
    </xf>
    <xf numFmtId="4" fontId="16" fillId="9" borderId="16" xfId="0" applyNumberFormat="1" applyFont="1" applyFill="1" applyBorder="1" applyAlignment="1">
      <alignment horizontal="right" vertical="center"/>
    </xf>
    <xf numFmtId="4" fontId="16" fillId="9" borderId="16" xfId="0" applyNumberFormat="1" applyFont="1" applyFill="1" applyBorder="1" applyAlignment="1">
      <alignment vertical="center" wrapText="1"/>
    </xf>
    <xf numFmtId="4" fontId="19" fillId="9" borderId="16" xfId="0" applyNumberFormat="1" applyFont="1" applyFill="1" applyBorder="1" applyAlignment="1">
      <alignment horizontal="center" vertical="center"/>
    </xf>
    <xf numFmtId="49" fontId="20" fillId="8" borderId="16" xfId="0" applyNumberFormat="1" applyFont="1" applyFill="1" applyBorder="1" applyAlignment="1">
      <alignment horizontal="left" vertical="center" wrapText="1"/>
    </xf>
    <xf numFmtId="0" fontId="20" fillId="8" borderId="16" xfId="0" applyFont="1" applyFill="1" applyBorder="1" applyAlignment="1">
      <alignment vertical="center" wrapText="1"/>
    </xf>
    <xf numFmtId="4" fontId="23" fillId="8" borderId="16" xfId="0" applyNumberFormat="1" applyFont="1" applyFill="1" applyBorder="1" applyAlignment="1">
      <alignment horizontal="center" vertical="center"/>
    </xf>
    <xf numFmtId="173" fontId="23" fillId="0" borderId="4" xfId="0" applyNumberFormat="1" applyFont="1" applyBorder="1" applyAlignment="1">
      <alignment vertical="center"/>
    </xf>
    <xf numFmtId="49" fontId="20" fillId="0" borderId="16" xfId="0" applyNumberFormat="1" applyFont="1" applyBorder="1" applyAlignment="1">
      <alignment horizontal="left" vertical="center" wrapText="1"/>
    </xf>
    <xf numFmtId="4" fontId="20" fillId="0" borderId="16" xfId="0" applyNumberFormat="1" applyFont="1" applyBorder="1" applyAlignment="1">
      <alignment horizontal="center" vertical="center"/>
    </xf>
    <xf numFmtId="173" fontId="23" fillId="0" borderId="0" xfId="0" applyNumberFormat="1" applyFont="1" applyAlignment="1">
      <alignment vertical="center"/>
    </xf>
    <xf numFmtId="49" fontId="20" fillId="9" borderId="16" xfId="0" applyNumberFormat="1" applyFont="1" applyFill="1" applyBorder="1" applyAlignment="1">
      <alignment horizontal="left" vertical="center" wrapText="1"/>
    </xf>
    <xf numFmtId="4" fontId="20" fillId="9" borderId="16" xfId="0" applyNumberFormat="1" applyFont="1" applyFill="1" applyBorder="1" applyAlignment="1">
      <alignment horizontal="center" vertical="center"/>
    </xf>
    <xf numFmtId="0" fontId="16" fillId="0" borderId="16" xfId="0" applyFont="1" applyBorder="1" applyAlignment="1">
      <alignment vertical="center" wrapText="1"/>
    </xf>
    <xf numFmtId="4" fontId="19" fillId="9" borderId="16" xfId="0" applyNumberFormat="1" applyFont="1" applyFill="1" applyBorder="1" applyAlignment="1">
      <alignment horizontal="center" vertical="center" wrapText="1"/>
    </xf>
    <xf numFmtId="173" fontId="20" fillId="0" borderId="4" xfId="0" applyNumberFormat="1" applyFont="1" applyBorder="1" applyAlignment="1">
      <alignment vertical="center"/>
    </xf>
    <xf numFmtId="4" fontId="20" fillId="8" borderId="16" xfId="0" applyNumberFormat="1" applyFont="1" applyFill="1" applyBorder="1" applyAlignment="1">
      <alignment vertical="center" wrapText="1"/>
    </xf>
    <xf numFmtId="0" fontId="16" fillId="17" borderId="0" xfId="0" applyFont="1" applyFill="1" applyAlignment="1">
      <alignment vertical="center"/>
    </xf>
    <xf numFmtId="4" fontId="21" fillId="9" borderId="16" xfId="0" applyNumberFormat="1" applyFont="1" applyFill="1" applyBorder="1" applyAlignment="1">
      <alignment vertical="center" wrapText="1"/>
    </xf>
    <xf numFmtId="4" fontId="16" fillId="8" borderId="16" xfId="0" applyNumberFormat="1" applyFont="1" applyFill="1" applyBorder="1" applyAlignment="1">
      <alignment vertical="center" wrapText="1"/>
    </xf>
    <xf numFmtId="0" fontId="20" fillId="9" borderId="16" xfId="0" applyFont="1" applyFill="1" applyBorder="1" applyAlignment="1">
      <alignment horizontal="left" vertical="center" wrapText="1"/>
    </xf>
    <xf numFmtId="0" fontId="21" fillId="9" borderId="16" xfId="0" applyFont="1" applyFill="1" applyBorder="1" applyAlignment="1">
      <alignment vertical="center" wrapText="1"/>
    </xf>
    <xf numFmtId="0" fontId="7" fillId="9" borderId="16" xfId="0" applyFont="1" applyFill="1" applyBorder="1" applyAlignment="1">
      <alignment vertical="center" wrapText="1"/>
    </xf>
    <xf numFmtId="4" fontId="21" fillId="9" borderId="16" xfId="0" applyNumberFormat="1" applyFont="1" applyFill="1" applyBorder="1" applyAlignment="1">
      <alignment horizontal="center" vertical="center"/>
    </xf>
    <xf numFmtId="0" fontId="21" fillId="0" borderId="16" xfId="0" applyFont="1" applyBorder="1" applyAlignment="1">
      <alignment vertical="center" wrapText="1"/>
    </xf>
    <xf numFmtId="4" fontId="21" fillId="0" borderId="16" xfId="0" applyNumberFormat="1" applyFont="1" applyBorder="1" applyAlignment="1">
      <alignment horizontal="right" vertical="center" wrapText="1"/>
    </xf>
    <xf numFmtId="49" fontId="16" fillId="0" borderId="16" xfId="0" applyNumberFormat="1" applyFont="1" applyBorder="1" applyAlignment="1">
      <alignment vertical="center" wrapText="1"/>
    </xf>
    <xf numFmtId="4" fontId="16" fillId="9" borderId="16" xfId="0" applyNumberFormat="1" applyFont="1" applyFill="1" applyBorder="1" applyAlignment="1">
      <alignment horizontal="right" vertical="center" wrapText="1"/>
    </xf>
    <xf numFmtId="4" fontId="20" fillId="8" borderId="16" xfId="0" applyNumberFormat="1" applyFont="1" applyFill="1" applyBorder="1" applyAlignment="1">
      <alignment horizontal="left" vertical="center" wrapText="1"/>
    </xf>
    <xf numFmtId="4" fontId="23" fillId="9" borderId="16" xfId="0" applyNumberFormat="1" applyFont="1" applyFill="1" applyBorder="1" applyAlignment="1">
      <alignment horizontal="center" vertical="center"/>
    </xf>
    <xf numFmtId="0" fontId="16" fillId="9" borderId="16" xfId="0" applyFont="1" applyFill="1" applyBorder="1" applyAlignment="1">
      <alignment vertical="center"/>
    </xf>
    <xf numFmtId="171" fontId="20" fillId="8" borderId="16" xfId="0" applyNumberFormat="1" applyFont="1" applyFill="1" applyBorder="1" applyAlignment="1">
      <alignment horizontal="right" vertical="center"/>
    </xf>
    <xf numFmtId="4" fontId="21" fillId="0" borderId="16" xfId="0" applyNumberFormat="1" applyFont="1" applyBorder="1" applyAlignment="1">
      <alignment vertical="center"/>
    </xf>
    <xf numFmtId="4" fontId="20" fillId="0" borderId="16" xfId="0" applyNumberFormat="1" applyFont="1" applyBorder="1" applyAlignment="1">
      <alignment vertical="center" wrapText="1"/>
    </xf>
    <xf numFmtId="0" fontId="20" fillId="18" borderId="16" xfId="0" applyFont="1" applyFill="1" applyBorder="1" applyAlignment="1">
      <alignment horizontal="left" vertical="center" wrapText="1"/>
    </xf>
    <xf numFmtId="4" fontId="16" fillId="18" borderId="16" xfId="0" applyNumberFormat="1" applyFont="1" applyFill="1" applyBorder="1" applyAlignment="1">
      <alignment horizontal="center" vertical="center"/>
    </xf>
    <xf numFmtId="4" fontId="20" fillId="18" borderId="16" xfId="0" applyNumberFormat="1" applyFont="1" applyFill="1" applyBorder="1" applyAlignment="1">
      <alignment horizontal="right" vertical="center"/>
    </xf>
    <xf numFmtId="4" fontId="19" fillId="0" borderId="16" xfId="0" applyNumberFormat="1" applyFont="1" applyBorder="1" applyAlignment="1">
      <alignment vertical="center"/>
    </xf>
    <xf numFmtId="4" fontId="16" fillId="0" borderId="0" xfId="0" applyNumberFormat="1" applyFont="1" applyAlignment="1">
      <alignment horizontal="center" vertical="center"/>
    </xf>
    <xf numFmtId="4" fontId="16" fillId="0" borderId="0" xfId="0" applyNumberFormat="1" applyFont="1" applyAlignment="1">
      <alignment horizontal="right" vertical="center"/>
    </xf>
    <xf numFmtId="172" fontId="16" fillId="0" borderId="0" xfId="0" applyNumberFormat="1" applyFont="1" applyAlignment="1">
      <alignment horizontal="center" vertical="center"/>
    </xf>
    <xf numFmtId="172" fontId="16" fillId="0" borderId="0" xfId="0" applyNumberFormat="1" applyFont="1" applyAlignment="1">
      <alignment horizontal="right" vertical="center"/>
    </xf>
    <xf numFmtId="0" fontId="6" fillId="5" borderId="0" xfId="135" applyFont="1" applyFill="1" applyAlignment="1" applyProtection="1">
      <alignment horizontal="center" vertical="center" wrapText="1"/>
    </xf>
    <xf numFmtId="0" fontId="6" fillId="5" borderId="0" xfId="135" applyFont="1" applyFill="1" applyAlignment="1">
      <alignment horizontal="center" vertical="center" wrapText="1"/>
    </xf>
    <xf numFmtId="0" fontId="7" fillId="0" borderId="1" xfId="123" applyFont="1" applyBorder="1" applyAlignment="1" applyProtection="1">
      <alignment horizontal="center" vertical="center" wrapText="1"/>
    </xf>
    <xf numFmtId="0" fontId="7" fillId="0" borderId="1" xfId="123" applyFont="1" applyBorder="1" applyAlignment="1">
      <alignment horizontal="center" vertical="center" wrapText="1"/>
    </xf>
    <xf numFmtId="0" fontId="8" fillId="0" borderId="3" xfId="127" applyFont="1" applyBorder="1" applyAlignment="1" applyProtection="1">
      <alignment horizontal="center" vertical="center" wrapText="1"/>
    </xf>
    <xf numFmtId="0" fontId="8" fillId="0" borderId="3" xfId="127" applyFont="1" applyBorder="1" applyAlignment="1">
      <alignment horizontal="center" vertical="center" wrapText="1"/>
    </xf>
    <xf numFmtId="0" fontId="8" fillId="0" borderId="1" xfId="139" applyFont="1" applyBorder="1" applyAlignment="1" applyProtection="1">
      <alignment horizontal="center"/>
    </xf>
    <xf numFmtId="0" fontId="8" fillId="0" borderId="1" xfId="139" applyFont="1" applyBorder="1" applyAlignment="1">
      <alignment horizontal="center"/>
    </xf>
    <xf numFmtId="0" fontId="8" fillId="0" borderId="1" xfId="133" applyFont="1" applyBorder="1" applyAlignment="1" applyProtection="1">
      <alignment horizontal="center" vertical="center" wrapText="1"/>
    </xf>
    <xf numFmtId="0" fontId="8" fillId="0" borderId="1" xfId="133" applyFont="1" applyBorder="1" applyAlignment="1">
      <alignment horizontal="center" vertical="center" wrapText="1"/>
    </xf>
    <xf numFmtId="168" fontId="10" fillId="0" borderId="0" xfId="77" applyNumberFormat="1" applyFont="1" applyAlignment="1" applyProtection="1">
      <alignment horizontal="left" vertical="center" wrapText="1"/>
    </xf>
    <xf numFmtId="164" fontId="10" fillId="0" borderId="0" xfId="77" applyNumberFormat="1" applyFont="1" applyAlignment="1">
      <alignment horizontal="left" vertical="center" wrapText="1"/>
    </xf>
    <xf numFmtId="168" fontId="10" fillId="0" borderId="0" xfId="5" applyNumberFormat="1" applyFont="1" applyAlignment="1" applyProtection="1">
      <alignment horizontal="center" vertical="center" wrapText="1"/>
    </xf>
    <xf numFmtId="168" fontId="10" fillId="0" borderId="0" xfId="81" applyNumberFormat="1" applyFont="1" applyAlignment="1" applyProtection="1">
      <alignment horizontal="center" vertical="center"/>
    </xf>
    <xf numFmtId="164" fontId="10" fillId="0" borderId="0" xfId="81" applyNumberFormat="1" applyFont="1" applyAlignment="1">
      <alignment horizontal="center" vertical="center"/>
    </xf>
    <xf numFmtId="168" fontId="2" fillId="0" borderId="0" xfId="77" applyNumberFormat="1" applyFont="1" applyAlignment="1" applyProtection="1">
      <alignment horizontal="left" vertical="center" wrapText="1"/>
    </xf>
    <xf numFmtId="164" fontId="2" fillId="0" borderId="0" xfId="77" applyNumberFormat="1" applyFont="1" applyAlignment="1">
      <alignment horizontal="left" vertical="center" wrapText="1"/>
    </xf>
    <xf numFmtId="168" fontId="2" fillId="0" borderId="0" xfId="5" applyNumberFormat="1" applyFont="1" applyAlignment="1" applyProtection="1">
      <alignment horizontal="center" vertical="center" wrapText="1"/>
    </xf>
    <xf numFmtId="164" fontId="2" fillId="0" borderId="0" xfId="5" applyNumberFormat="1" applyFont="1" applyAlignment="1">
      <alignment horizontal="center" vertical="center" wrapText="1"/>
    </xf>
    <xf numFmtId="168" fontId="2" fillId="0" borderId="0" xfId="81" applyNumberFormat="1" applyFont="1" applyAlignment="1" applyProtection="1">
      <alignment horizontal="center" vertical="center"/>
    </xf>
    <xf numFmtId="164" fontId="2" fillId="0" borderId="0" xfId="81" applyNumberFormat="1" applyFont="1" applyAlignment="1">
      <alignment horizontal="center" vertical="center"/>
    </xf>
    <xf numFmtId="166" fontId="3" fillId="0" borderId="0" xfId="129" applyNumberFormat="1" applyFont="1" applyAlignment="1" applyProtection="1">
      <alignment horizontal="left" vertical="top" wrapText="1"/>
    </xf>
    <xf numFmtId="166" fontId="3" fillId="0" borderId="0" xfId="129" applyNumberFormat="1" applyFont="1" applyAlignment="1">
      <alignment horizontal="left" vertical="top" wrapText="1"/>
    </xf>
    <xf numFmtId="168" fontId="3" fillId="0" borderId="0" xfId="131" applyNumberFormat="1" applyFont="1" applyAlignment="1" applyProtection="1">
      <alignment horizontal="left" vertical="top" wrapText="1"/>
    </xf>
    <xf numFmtId="164" fontId="3" fillId="0" borderId="0" xfId="131" applyNumberFormat="1" applyFont="1" applyAlignment="1">
      <alignment horizontal="left" vertical="top" wrapText="1"/>
    </xf>
    <xf numFmtId="0" fontId="6" fillId="0" borderId="3" xfId="153" applyFont="1" applyBorder="1" applyAlignment="1">
      <alignment horizontal="center" vertical="center"/>
    </xf>
    <xf numFmtId="0" fontId="6" fillId="0" borderId="5" xfId="153" applyFont="1" applyBorder="1" applyAlignment="1">
      <alignment horizontal="center" vertical="center"/>
    </xf>
    <xf numFmtId="0" fontId="16" fillId="0" borderId="0" xfId="0" applyFont="1" applyAlignment="1">
      <alignment horizontal="center" vertical="center"/>
    </xf>
    <xf numFmtId="49" fontId="19" fillId="0" borderId="16" xfId="0" applyNumberFormat="1" applyFont="1" applyBorder="1" applyAlignment="1">
      <alignment horizontal="right" vertical="center" wrapText="1"/>
    </xf>
    <xf numFmtId="0" fontId="16" fillId="0" borderId="16" xfId="0" applyFont="1" applyBorder="1" applyAlignment="1">
      <alignment horizontal="right" vertical="center"/>
    </xf>
    <xf numFmtId="4" fontId="16" fillId="0" borderId="16" xfId="0" applyNumberFormat="1" applyFont="1" applyBorder="1" applyAlignment="1">
      <alignment horizontal="center" vertical="center" wrapText="1"/>
    </xf>
    <xf numFmtId="4" fontId="16" fillId="9" borderId="16" xfId="0" applyNumberFormat="1" applyFont="1" applyFill="1" applyBorder="1" applyAlignment="1">
      <alignment horizontal="center" vertical="center" wrapText="1"/>
    </xf>
  </cellXfs>
  <cellStyles count="157">
    <cellStyle name="br" xfId="1" xr:uid="{00000000-0005-0000-0000-000000000000}"/>
    <cellStyle name="br 2" xfId="2" xr:uid="{00000000-0005-0000-0000-000001000000}"/>
    <cellStyle name="col" xfId="3" xr:uid="{00000000-0005-0000-0000-000002000000}"/>
    <cellStyle name="col 2" xfId="4" xr:uid="{00000000-0005-0000-0000-000003000000}"/>
    <cellStyle name="st71" xfId="5" xr:uid="{00000000-0005-0000-0000-000004000000}"/>
    <cellStyle name="st71 2" xfId="6" xr:uid="{00000000-0005-0000-0000-000005000000}"/>
    <cellStyle name="st72" xfId="7" xr:uid="{00000000-0005-0000-0000-000006000000}"/>
    <cellStyle name="st72 2" xfId="8" xr:uid="{00000000-0005-0000-0000-000007000000}"/>
    <cellStyle name="st73" xfId="9" xr:uid="{00000000-0005-0000-0000-000008000000}"/>
    <cellStyle name="st73 2" xfId="10" xr:uid="{00000000-0005-0000-0000-000009000000}"/>
    <cellStyle name="st74" xfId="11" xr:uid="{00000000-0005-0000-0000-00000A000000}"/>
    <cellStyle name="st74 2" xfId="12" xr:uid="{00000000-0005-0000-0000-00000B000000}"/>
    <cellStyle name="style0" xfId="13" xr:uid="{00000000-0005-0000-0000-00000C000000}"/>
    <cellStyle name="style0 2" xfId="14" xr:uid="{00000000-0005-0000-0000-00000D000000}"/>
    <cellStyle name="td" xfId="15" xr:uid="{00000000-0005-0000-0000-00000E000000}"/>
    <cellStyle name="td 2" xfId="16" xr:uid="{00000000-0005-0000-0000-00000F000000}"/>
    <cellStyle name="tr" xfId="17" xr:uid="{00000000-0005-0000-0000-000010000000}"/>
    <cellStyle name="tr 2" xfId="18" xr:uid="{00000000-0005-0000-0000-000011000000}"/>
    <cellStyle name="xl21" xfId="19" xr:uid="{00000000-0005-0000-0000-000012000000}"/>
    <cellStyle name="xl21 2" xfId="20" xr:uid="{00000000-0005-0000-0000-000013000000}"/>
    <cellStyle name="xl22" xfId="21" xr:uid="{00000000-0005-0000-0000-000014000000}"/>
    <cellStyle name="xl22 2" xfId="22" xr:uid="{00000000-0005-0000-0000-000015000000}"/>
    <cellStyle name="xl23" xfId="23" xr:uid="{00000000-0005-0000-0000-000016000000}"/>
    <cellStyle name="xl23 2" xfId="24" xr:uid="{00000000-0005-0000-0000-000017000000}"/>
    <cellStyle name="xl24" xfId="25" xr:uid="{00000000-0005-0000-0000-000018000000}"/>
    <cellStyle name="xl24 2" xfId="26" xr:uid="{00000000-0005-0000-0000-000019000000}"/>
    <cellStyle name="xl25" xfId="27" xr:uid="{00000000-0005-0000-0000-00001A000000}"/>
    <cellStyle name="xl25 2" xfId="28" xr:uid="{00000000-0005-0000-0000-00001B000000}"/>
    <cellStyle name="xl26" xfId="29" xr:uid="{00000000-0005-0000-0000-00001C000000}"/>
    <cellStyle name="xl26 2" xfId="30" xr:uid="{00000000-0005-0000-0000-00001D000000}"/>
    <cellStyle name="xl27" xfId="31" xr:uid="{00000000-0005-0000-0000-00001E000000}"/>
    <cellStyle name="xl27 2" xfId="32" xr:uid="{00000000-0005-0000-0000-00001F000000}"/>
    <cellStyle name="xl28" xfId="33" xr:uid="{00000000-0005-0000-0000-000020000000}"/>
    <cellStyle name="xl28 2" xfId="34" xr:uid="{00000000-0005-0000-0000-000021000000}"/>
    <cellStyle name="xl29" xfId="35" xr:uid="{00000000-0005-0000-0000-000022000000}"/>
    <cellStyle name="xl29 2" xfId="36" xr:uid="{00000000-0005-0000-0000-000023000000}"/>
    <cellStyle name="xl30" xfId="37" xr:uid="{00000000-0005-0000-0000-000024000000}"/>
    <cellStyle name="xl30 2" xfId="38" xr:uid="{00000000-0005-0000-0000-000025000000}"/>
    <cellStyle name="xl31" xfId="39" xr:uid="{00000000-0005-0000-0000-000026000000}"/>
    <cellStyle name="xl31 2" xfId="40" xr:uid="{00000000-0005-0000-0000-000027000000}"/>
    <cellStyle name="xl32" xfId="41" xr:uid="{00000000-0005-0000-0000-000028000000}"/>
    <cellStyle name="xl32 2" xfId="42" xr:uid="{00000000-0005-0000-0000-000029000000}"/>
    <cellStyle name="xl33" xfId="43" xr:uid="{00000000-0005-0000-0000-00002A000000}"/>
    <cellStyle name="xl33 2" xfId="44" xr:uid="{00000000-0005-0000-0000-00002B000000}"/>
    <cellStyle name="xl34" xfId="45" xr:uid="{00000000-0005-0000-0000-00002C000000}"/>
    <cellStyle name="xl34 2" xfId="46" xr:uid="{00000000-0005-0000-0000-00002D000000}"/>
    <cellStyle name="xl35" xfId="47" xr:uid="{00000000-0005-0000-0000-00002E000000}"/>
    <cellStyle name="xl35 2" xfId="48" xr:uid="{00000000-0005-0000-0000-00002F000000}"/>
    <cellStyle name="xl36" xfId="49" xr:uid="{00000000-0005-0000-0000-000030000000}"/>
    <cellStyle name="xl36 2" xfId="50" xr:uid="{00000000-0005-0000-0000-000031000000}"/>
    <cellStyle name="xl37" xfId="51" xr:uid="{00000000-0005-0000-0000-000032000000}"/>
    <cellStyle name="xl37 2" xfId="52" xr:uid="{00000000-0005-0000-0000-000033000000}"/>
    <cellStyle name="xl38" xfId="53" xr:uid="{00000000-0005-0000-0000-000034000000}"/>
    <cellStyle name="xl38 2" xfId="54" xr:uid="{00000000-0005-0000-0000-000035000000}"/>
    <cellStyle name="xl39" xfId="55" xr:uid="{00000000-0005-0000-0000-000036000000}"/>
    <cellStyle name="xl39 2" xfId="56" xr:uid="{00000000-0005-0000-0000-000037000000}"/>
    <cellStyle name="xl40" xfId="57" xr:uid="{00000000-0005-0000-0000-000038000000}"/>
    <cellStyle name="xl40 2" xfId="58" xr:uid="{00000000-0005-0000-0000-000039000000}"/>
    <cellStyle name="xl41" xfId="59" xr:uid="{00000000-0005-0000-0000-00003A000000}"/>
    <cellStyle name="xl41 2" xfId="60" xr:uid="{00000000-0005-0000-0000-00003B000000}"/>
    <cellStyle name="xl42" xfId="61" xr:uid="{00000000-0005-0000-0000-00003C000000}"/>
    <cellStyle name="xl42 2" xfId="62" xr:uid="{00000000-0005-0000-0000-00003D000000}"/>
    <cellStyle name="xl43" xfId="63" xr:uid="{00000000-0005-0000-0000-00003E000000}"/>
    <cellStyle name="xl43 2" xfId="64" xr:uid="{00000000-0005-0000-0000-00003F000000}"/>
    <cellStyle name="xl44" xfId="65" xr:uid="{00000000-0005-0000-0000-000040000000}"/>
    <cellStyle name="xl44 2" xfId="66" xr:uid="{00000000-0005-0000-0000-000041000000}"/>
    <cellStyle name="xl45" xfId="67" xr:uid="{00000000-0005-0000-0000-000042000000}"/>
    <cellStyle name="xl45 2" xfId="68" xr:uid="{00000000-0005-0000-0000-000043000000}"/>
    <cellStyle name="xl46" xfId="69" xr:uid="{00000000-0005-0000-0000-000044000000}"/>
    <cellStyle name="xl46 2" xfId="70" xr:uid="{00000000-0005-0000-0000-000045000000}"/>
    <cellStyle name="xl47" xfId="71" xr:uid="{00000000-0005-0000-0000-000046000000}"/>
    <cellStyle name="xl47 2" xfId="72" xr:uid="{00000000-0005-0000-0000-000047000000}"/>
    <cellStyle name="xl48" xfId="73" xr:uid="{00000000-0005-0000-0000-000048000000}"/>
    <cellStyle name="xl48 2" xfId="74" xr:uid="{00000000-0005-0000-0000-000049000000}"/>
    <cellStyle name="xl49" xfId="75" xr:uid="{00000000-0005-0000-0000-00004A000000}"/>
    <cellStyle name="xl49 2" xfId="76" xr:uid="{00000000-0005-0000-0000-00004B000000}"/>
    <cellStyle name="xl50" xfId="77" xr:uid="{00000000-0005-0000-0000-00004C000000}"/>
    <cellStyle name="xl50 2" xfId="78" xr:uid="{00000000-0005-0000-0000-00004D000000}"/>
    <cellStyle name="xl51" xfId="79" xr:uid="{00000000-0005-0000-0000-00004E000000}"/>
    <cellStyle name="xl51 2" xfId="80" xr:uid="{00000000-0005-0000-0000-00004F000000}"/>
    <cellStyle name="xl52" xfId="81" xr:uid="{00000000-0005-0000-0000-000050000000}"/>
    <cellStyle name="xl52 2" xfId="82" xr:uid="{00000000-0005-0000-0000-000051000000}"/>
    <cellStyle name="xl53" xfId="83" xr:uid="{00000000-0005-0000-0000-000052000000}"/>
    <cellStyle name="xl53 2" xfId="84" xr:uid="{00000000-0005-0000-0000-000053000000}"/>
    <cellStyle name="xl54" xfId="85" xr:uid="{00000000-0005-0000-0000-000054000000}"/>
    <cellStyle name="xl54 2" xfId="86" xr:uid="{00000000-0005-0000-0000-000055000000}"/>
    <cellStyle name="xl55" xfId="87" xr:uid="{00000000-0005-0000-0000-000056000000}"/>
    <cellStyle name="xl55 2" xfId="88" xr:uid="{00000000-0005-0000-0000-000057000000}"/>
    <cellStyle name="xl56" xfId="89" xr:uid="{00000000-0005-0000-0000-000058000000}"/>
    <cellStyle name="xl56 2" xfId="90" xr:uid="{00000000-0005-0000-0000-000059000000}"/>
    <cellStyle name="xl57" xfId="91" xr:uid="{00000000-0005-0000-0000-00005A000000}"/>
    <cellStyle name="xl57 2" xfId="92" xr:uid="{00000000-0005-0000-0000-00005B000000}"/>
    <cellStyle name="xl58" xfId="93" xr:uid="{00000000-0005-0000-0000-00005C000000}"/>
    <cellStyle name="xl58 2" xfId="94" xr:uid="{00000000-0005-0000-0000-00005D000000}"/>
    <cellStyle name="xl59" xfId="95" xr:uid="{00000000-0005-0000-0000-00005E000000}"/>
    <cellStyle name="xl59 2" xfId="96" xr:uid="{00000000-0005-0000-0000-00005F000000}"/>
    <cellStyle name="xl60" xfId="97" xr:uid="{00000000-0005-0000-0000-000060000000}"/>
    <cellStyle name="xl60 2" xfId="98" xr:uid="{00000000-0005-0000-0000-000061000000}"/>
    <cellStyle name="xl61" xfId="99" xr:uid="{00000000-0005-0000-0000-000062000000}"/>
    <cellStyle name="xl61 2" xfId="100" xr:uid="{00000000-0005-0000-0000-000063000000}"/>
    <cellStyle name="xl62" xfId="101" xr:uid="{00000000-0005-0000-0000-000064000000}"/>
    <cellStyle name="xl62 2" xfId="102" xr:uid="{00000000-0005-0000-0000-000065000000}"/>
    <cellStyle name="xl63" xfId="103" xr:uid="{00000000-0005-0000-0000-000066000000}"/>
    <cellStyle name="xl63 2" xfId="104" xr:uid="{00000000-0005-0000-0000-000067000000}"/>
    <cellStyle name="xl64" xfId="105" xr:uid="{00000000-0005-0000-0000-000068000000}"/>
    <cellStyle name="xl64 2" xfId="106" xr:uid="{00000000-0005-0000-0000-000069000000}"/>
    <cellStyle name="xl65" xfId="107" xr:uid="{00000000-0005-0000-0000-00006A000000}"/>
    <cellStyle name="xl65 2" xfId="108" xr:uid="{00000000-0005-0000-0000-00006B000000}"/>
    <cellStyle name="xl66" xfId="109" xr:uid="{00000000-0005-0000-0000-00006C000000}"/>
    <cellStyle name="xl66 2" xfId="110" xr:uid="{00000000-0005-0000-0000-00006D000000}"/>
    <cellStyle name="xl67" xfId="111" xr:uid="{00000000-0005-0000-0000-00006E000000}"/>
    <cellStyle name="xl67 2" xfId="112" xr:uid="{00000000-0005-0000-0000-00006F000000}"/>
    <cellStyle name="xl68" xfId="113" xr:uid="{00000000-0005-0000-0000-000070000000}"/>
    <cellStyle name="xl68 2" xfId="114" xr:uid="{00000000-0005-0000-0000-000071000000}"/>
    <cellStyle name="xl69" xfId="115" xr:uid="{00000000-0005-0000-0000-000072000000}"/>
    <cellStyle name="xl69 2" xfId="116" xr:uid="{00000000-0005-0000-0000-000073000000}"/>
    <cellStyle name="xl70" xfId="117" xr:uid="{00000000-0005-0000-0000-000074000000}"/>
    <cellStyle name="xl70 2" xfId="118" xr:uid="{00000000-0005-0000-0000-000075000000}"/>
    <cellStyle name="xl71" xfId="119" xr:uid="{00000000-0005-0000-0000-000076000000}"/>
    <cellStyle name="xl71 2" xfId="120" xr:uid="{00000000-0005-0000-0000-000077000000}"/>
    <cellStyle name="xl72" xfId="121" xr:uid="{00000000-0005-0000-0000-000078000000}"/>
    <cellStyle name="xl72 2" xfId="122" xr:uid="{00000000-0005-0000-0000-000079000000}"/>
    <cellStyle name="xl73" xfId="123" xr:uid="{00000000-0005-0000-0000-00007A000000}"/>
    <cellStyle name="xl73 2" xfId="124" xr:uid="{00000000-0005-0000-0000-00007B000000}"/>
    <cellStyle name="xl74" xfId="125" xr:uid="{00000000-0005-0000-0000-00007C000000}"/>
    <cellStyle name="xl74 2" xfId="126" xr:uid="{00000000-0005-0000-0000-00007D000000}"/>
    <cellStyle name="xl75" xfId="127" xr:uid="{00000000-0005-0000-0000-00007E000000}"/>
    <cellStyle name="xl75 2" xfId="128" xr:uid="{00000000-0005-0000-0000-00007F000000}"/>
    <cellStyle name="xl76" xfId="129" xr:uid="{00000000-0005-0000-0000-000080000000}"/>
    <cellStyle name="xl76 2" xfId="130" xr:uid="{00000000-0005-0000-0000-000081000000}"/>
    <cellStyle name="xl77" xfId="131" xr:uid="{00000000-0005-0000-0000-000082000000}"/>
    <cellStyle name="xl77 2" xfId="132" xr:uid="{00000000-0005-0000-0000-000083000000}"/>
    <cellStyle name="xl78" xfId="133" xr:uid="{00000000-0005-0000-0000-000084000000}"/>
    <cellStyle name="xl78 2" xfId="134" xr:uid="{00000000-0005-0000-0000-000085000000}"/>
    <cellStyle name="xl79" xfId="135" xr:uid="{00000000-0005-0000-0000-000086000000}"/>
    <cellStyle name="xl79 2" xfId="136" xr:uid="{00000000-0005-0000-0000-000087000000}"/>
    <cellStyle name="xl80" xfId="137" xr:uid="{00000000-0005-0000-0000-000088000000}"/>
    <cellStyle name="xl80 2" xfId="138" xr:uid="{00000000-0005-0000-0000-000089000000}"/>
    <cellStyle name="xl81" xfId="139" xr:uid="{00000000-0005-0000-0000-00008A000000}"/>
    <cellStyle name="xl81 2" xfId="140" xr:uid="{00000000-0005-0000-0000-00008B000000}"/>
    <cellStyle name="xl82" xfId="141" xr:uid="{00000000-0005-0000-0000-00008C000000}"/>
    <cellStyle name="xl82 2" xfId="142" xr:uid="{00000000-0005-0000-0000-00008D000000}"/>
    <cellStyle name="xl83" xfId="143" xr:uid="{00000000-0005-0000-0000-00008E000000}"/>
    <cellStyle name="xl83 2" xfId="144" xr:uid="{00000000-0005-0000-0000-00008F000000}"/>
    <cellStyle name="xl84" xfId="145" xr:uid="{00000000-0005-0000-0000-000090000000}"/>
    <cellStyle name="xl84 2" xfId="146" xr:uid="{00000000-0005-0000-0000-000091000000}"/>
    <cellStyle name="xl85" xfId="147" xr:uid="{00000000-0005-0000-0000-000092000000}"/>
    <cellStyle name="xl85 2" xfId="148" xr:uid="{00000000-0005-0000-0000-000093000000}"/>
    <cellStyle name="xl86" xfId="149" xr:uid="{00000000-0005-0000-0000-000094000000}"/>
    <cellStyle name="xl86 2" xfId="150" xr:uid="{00000000-0005-0000-0000-000095000000}"/>
    <cellStyle name="Денежный 2" xfId="151" xr:uid="{00000000-0005-0000-0000-000096000000}"/>
    <cellStyle name="Обычный" xfId="0" builtinId="0"/>
    <cellStyle name="Обычный 2" xfId="152" xr:uid="{00000000-0005-0000-0000-000098000000}"/>
    <cellStyle name="Обычный 3" xfId="153" xr:uid="{00000000-0005-0000-0000-000099000000}"/>
    <cellStyle name="Обычный 4" xfId="154" xr:uid="{00000000-0005-0000-0000-00009A000000}"/>
    <cellStyle name="Обычный 5" xfId="155" xr:uid="{00000000-0005-0000-0000-00009B000000}"/>
    <cellStyle name="Элементы осей" xfId="156" xr:uid="{00000000-0005-0000-0000-00009C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microsoft.com/office/2017/10/relationships/person" Target="persons/person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Елена Вазем" id="{4B66BA4D-3594-7875-4767-EDF6F547A4D2}"/>
</personList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B22" personId="{4B66BA4D-3594-7875-4767-EDF6F547A4D2}" id="{003A0020-00A3-4AF7-BE03-007000120083}" done="0"/>
  <threadedComment ref="E22" personId="{4B66BA4D-3594-7875-4767-EDF6F547A4D2}" id="{00AE0053-001D-4C80-9AFC-00D4009F0028}" done="0"/>
</ThreadedComments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Relationship Id="rId4" Type="http://schemas.microsoft.com/office/2017/10/relationships/threadedComment" Target="../threadedComments/threadedComment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66"/>
  <sheetViews>
    <sheetView view="pageBreakPreview" topLeftCell="C1" zoomScale="56" workbookViewId="0">
      <selection activeCell="E13" sqref="E13"/>
    </sheetView>
  </sheetViews>
  <sheetFormatPr defaultColWidth="9.140625" defaultRowHeight="15" x14ac:dyDescent="0.25"/>
  <cols>
    <col min="1" max="2" width="9.140625" style="1" hidden="1"/>
    <col min="3" max="3" width="33.42578125" style="1" customWidth="1"/>
    <col min="4" max="4" width="18.42578125" style="1" customWidth="1"/>
    <col min="5" max="5" width="14.7109375" style="1" customWidth="1"/>
    <col min="6" max="6" width="19" style="1" customWidth="1"/>
    <col min="7" max="7" width="21.5703125" style="1" customWidth="1"/>
    <col min="8" max="11" width="14.7109375" style="1" customWidth="1"/>
    <col min="12" max="12" width="23.42578125" style="1" customWidth="1"/>
    <col min="13" max="19" width="14.7109375" style="1" customWidth="1"/>
    <col min="20" max="20" width="15.28515625" style="1" customWidth="1"/>
    <col min="21" max="21" width="27.42578125" style="1" customWidth="1"/>
    <col min="22" max="16384" width="9.140625" style="1"/>
  </cols>
  <sheetData>
    <row r="1" spans="1:21" ht="12.75" customHeight="1" x14ac:dyDescent="0.25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3"/>
      <c r="T1" s="3"/>
      <c r="U1" s="2"/>
    </row>
    <row r="2" spans="1:21" ht="21" customHeight="1" x14ac:dyDescent="0.25">
      <c r="A2" s="2"/>
      <c r="B2" s="2"/>
      <c r="C2" s="277" t="s">
        <v>0</v>
      </c>
      <c r="D2" s="278"/>
      <c r="E2" s="278"/>
      <c r="F2" s="278"/>
      <c r="G2" s="278"/>
      <c r="H2" s="278"/>
      <c r="I2" s="278"/>
      <c r="J2" s="278"/>
      <c r="K2" s="278"/>
      <c r="L2" s="278"/>
      <c r="M2" s="278"/>
      <c r="N2" s="278"/>
      <c r="O2" s="278"/>
      <c r="P2" s="278"/>
      <c r="Q2" s="278"/>
      <c r="R2" s="278"/>
      <c r="S2" s="278"/>
      <c r="T2" s="2"/>
      <c r="U2" s="2"/>
    </row>
    <row r="3" spans="1:21" ht="65.45" customHeight="1" x14ac:dyDescent="0.25">
      <c r="A3" s="2"/>
      <c r="B3" s="2"/>
      <c r="C3" s="4"/>
      <c r="D3" s="4">
        <v>64094.12</v>
      </c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2"/>
      <c r="S3" s="5"/>
      <c r="T3" s="6" t="s">
        <v>1</v>
      </c>
      <c r="U3" s="2"/>
    </row>
    <row r="4" spans="1:21" ht="30" customHeight="1" x14ac:dyDescent="0.25">
      <c r="A4" s="2"/>
      <c r="B4" s="2"/>
      <c r="C4" s="279" t="s">
        <v>2</v>
      </c>
      <c r="D4" s="281" t="s">
        <v>3</v>
      </c>
      <c r="E4" s="283" t="s">
        <v>4</v>
      </c>
      <c r="F4" s="284"/>
      <c r="G4" s="284"/>
      <c r="H4" s="284"/>
      <c r="I4" s="284"/>
      <c r="J4" s="284"/>
      <c r="K4" s="284"/>
      <c r="L4" s="284"/>
      <c r="M4" s="284"/>
      <c r="N4" s="284"/>
      <c r="O4" s="284"/>
      <c r="P4" s="284"/>
      <c r="Q4" s="284"/>
      <c r="R4" s="284"/>
      <c r="S4" s="284"/>
      <c r="T4" s="8"/>
      <c r="U4" s="2"/>
    </row>
    <row r="5" spans="1:21" ht="34.15" customHeight="1" x14ac:dyDescent="0.25">
      <c r="A5" s="2"/>
      <c r="B5" s="9"/>
      <c r="C5" s="280"/>
      <c r="D5" s="282"/>
      <c r="E5" s="285" t="s">
        <v>5</v>
      </c>
      <c r="F5" s="286"/>
      <c r="G5" s="286"/>
      <c r="H5" s="286"/>
      <c r="I5" s="286"/>
      <c r="J5" s="286"/>
      <c r="K5" s="286"/>
      <c r="L5" s="286"/>
      <c r="M5" s="286"/>
      <c r="N5" s="286"/>
      <c r="O5" s="286"/>
      <c r="P5" s="286"/>
      <c r="Q5" s="285" t="s">
        <v>6</v>
      </c>
      <c r="R5" s="286"/>
      <c r="S5" s="286"/>
      <c r="T5" s="8"/>
      <c r="U5" s="2"/>
    </row>
    <row r="6" spans="1:21" ht="93" customHeight="1" x14ac:dyDescent="0.25">
      <c r="A6" s="10"/>
      <c r="B6" s="11"/>
      <c r="C6" s="280"/>
      <c r="D6" s="282"/>
      <c r="E6" s="7" t="s">
        <v>7</v>
      </c>
      <c r="F6" s="7" t="s">
        <v>8</v>
      </c>
      <c r="G6" s="7" t="s">
        <v>9</v>
      </c>
      <c r="H6" s="7" t="s">
        <v>10</v>
      </c>
      <c r="I6" s="7" t="s">
        <v>11</v>
      </c>
      <c r="J6" s="7" t="s">
        <v>12</v>
      </c>
      <c r="K6" s="7" t="s">
        <v>13</v>
      </c>
      <c r="L6" s="7" t="s">
        <v>14</v>
      </c>
      <c r="M6" s="7" t="s">
        <v>15</v>
      </c>
      <c r="N6" s="7" t="s">
        <v>16</v>
      </c>
      <c r="O6" s="7" t="s">
        <v>17</v>
      </c>
      <c r="P6" s="7" t="s">
        <v>18</v>
      </c>
      <c r="Q6" s="7" t="s">
        <v>19</v>
      </c>
      <c r="R6" s="7" t="s">
        <v>20</v>
      </c>
      <c r="S6" s="7" t="s">
        <v>21</v>
      </c>
      <c r="T6" s="12" t="s">
        <v>22</v>
      </c>
      <c r="U6" s="13"/>
    </row>
    <row r="7" spans="1:21" ht="30.75" customHeight="1" x14ac:dyDescent="0.25">
      <c r="A7" s="10"/>
      <c r="B7" s="11">
        <v>1</v>
      </c>
      <c r="C7" s="12">
        <v>1</v>
      </c>
      <c r="D7" s="14">
        <v>2</v>
      </c>
      <c r="E7" s="12">
        <v>3</v>
      </c>
      <c r="F7" s="15">
        <v>4</v>
      </c>
      <c r="G7" s="15">
        <v>5</v>
      </c>
      <c r="H7" s="15">
        <v>6</v>
      </c>
      <c r="I7" s="15">
        <v>7</v>
      </c>
      <c r="J7" s="15">
        <v>8</v>
      </c>
      <c r="K7" s="15">
        <v>9</v>
      </c>
      <c r="L7" s="15">
        <v>10</v>
      </c>
      <c r="M7" s="15">
        <v>11</v>
      </c>
      <c r="N7" s="15">
        <v>12</v>
      </c>
      <c r="O7" s="15">
        <v>13</v>
      </c>
      <c r="P7" s="15">
        <v>14</v>
      </c>
      <c r="Q7" s="15">
        <v>15</v>
      </c>
      <c r="R7" s="15">
        <v>16</v>
      </c>
      <c r="S7" s="15">
        <v>17</v>
      </c>
      <c r="T7" s="15">
        <v>18</v>
      </c>
      <c r="U7" s="13"/>
    </row>
    <row r="8" spans="1:21" ht="43.15" customHeight="1" x14ac:dyDescent="0.25">
      <c r="A8" s="16" t="s">
        <v>23</v>
      </c>
      <c r="B8" s="17">
        <v>3</v>
      </c>
      <c r="C8" s="18" t="s">
        <v>24</v>
      </c>
      <c r="D8" s="19">
        <v>72490.12</v>
      </c>
      <c r="E8" s="20">
        <v>51739.4</v>
      </c>
      <c r="F8" s="20">
        <v>4840.26</v>
      </c>
      <c r="G8" s="20" t="s">
        <v>25</v>
      </c>
      <c r="H8" s="20">
        <v>3165.36</v>
      </c>
      <c r="I8" s="20" t="s">
        <v>25</v>
      </c>
      <c r="J8" s="20">
        <v>3.8</v>
      </c>
      <c r="K8" s="20">
        <v>752.9</v>
      </c>
      <c r="L8" s="20">
        <v>8938.5</v>
      </c>
      <c r="M8" s="20">
        <v>679.1</v>
      </c>
      <c r="N8" s="20" t="s">
        <v>25</v>
      </c>
      <c r="O8" s="20">
        <v>1694.2</v>
      </c>
      <c r="P8" s="20">
        <v>676.6</v>
      </c>
      <c r="Q8" s="20">
        <v>225.96</v>
      </c>
      <c r="R8" s="20" t="s">
        <v>25</v>
      </c>
      <c r="S8" s="20">
        <v>7593.56</v>
      </c>
      <c r="T8" s="20"/>
      <c r="U8" s="21"/>
    </row>
    <row r="9" spans="1:21" ht="24" customHeight="1" x14ac:dyDescent="0.25">
      <c r="A9" s="22" t="s">
        <v>23</v>
      </c>
      <c r="B9" s="23"/>
      <c r="C9" s="24" t="s">
        <v>26</v>
      </c>
      <c r="D9" s="25">
        <v>17.8</v>
      </c>
      <c r="E9" s="26" t="s">
        <v>25</v>
      </c>
      <c r="F9" s="26" t="s">
        <v>25</v>
      </c>
      <c r="G9" s="26" t="s">
        <v>25</v>
      </c>
      <c r="H9" s="26" t="s">
        <v>25</v>
      </c>
      <c r="I9" s="26" t="s">
        <v>25</v>
      </c>
      <c r="J9" s="26" t="s">
        <v>25</v>
      </c>
      <c r="K9" s="26" t="s">
        <v>25</v>
      </c>
      <c r="L9" s="26" t="s">
        <v>25</v>
      </c>
      <c r="M9" s="26" t="s">
        <v>25</v>
      </c>
      <c r="N9" s="26" t="s">
        <v>25</v>
      </c>
      <c r="O9" s="26">
        <v>17.8</v>
      </c>
      <c r="P9" s="26" t="s">
        <v>25</v>
      </c>
      <c r="Q9" s="26" t="s">
        <v>25</v>
      </c>
      <c r="R9" s="26" t="s">
        <v>25</v>
      </c>
      <c r="S9" s="26" t="s">
        <v>25</v>
      </c>
      <c r="T9" s="26"/>
      <c r="U9" s="27"/>
    </row>
    <row r="10" spans="1:21" ht="39" x14ac:dyDescent="0.25">
      <c r="A10" s="28" t="s">
        <v>23</v>
      </c>
      <c r="B10" s="29"/>
      <c r="C10" s="30" t="s">
        <v>27</v>
      </c>
      <c r="D10" s="31">
        <v>17.8</v>
      </c>
      <c r="E10" s="32" t="s">
        <v>25</v>
      </c>
      <c r="F10" s="32" t="s">
        <v>25</v>
      </c>
      <c r="G10" s="32" t="s">
        <v>25</v>
      </c>
      <c r="H10" s="32" t="s">
        <v>25</v>
      </c>
      <c r="I10" s="32" t="s">
        <v>25</v>
      </c>
      <c r="J10" s="32" t="s">
        <v>25</v>
      </c>
      <c r="K10" s="32" t="s">
        <v>25</v>
      </c>
      <c r="L10" s="32" t="s">
        <v>25</v>
      </c>
      <c r="M10" s="32" t="s">
        <v>25</v>
      </c>
      <c r="N10" s="32" t="s">
        <v>25</v>
      </c>
      <c r="O10" s="32">
        <v>17.8</v>
      </c>
      <c r="P10" s="32" t="s">
        <v>25</v>
      </c>
      <c r="Q10" s="32" t="s">
        <v>25</v>
      </c>
      <c r="R10" s="32" t="s">
        <v>25</v>
      </c>
      <c r="S10" s="32" t="s">
        <v>25</v>
      </c>
      <c r="T10" s="32"/>
      <c r="U10" s="27"/>
    </row>
    <row r="11" spans="1:21" ht="30" customHeight="1" x14ac:dyDescent="0.25">
      <c r="A11" s="22" t="s">
        <v>23</v>
      </c>
      <c r="B11" s="23"/>
      <c r="C11" s="24" t="s">
        <v>28</v>
      </c>
      <c r="D11" s="25">
        <v>72472.320000000007</v>
      </c>
      <c r="E11" s="26">
        <v>51739.4</v>
      </c>
      <c r="F11" s="26">
        <v>4840.26</v>
      </c>
      <c r="G11" s="26" t="s">
        <v>25</v>
      </c>
      <c r="H11" s="26">
        <v>3165.36</v>
      </c>
      <c r="I11" s="26" t="s">
        <v>25</v>
      </c>
      <c r="J11" s="26">
        <v>3.8</v>
      </c>
      <c r="K11" s="26">
        <v>752.9</v>
      </c>
      <c r="L11" s="26">
        <v>8938.5</v>
      </c>
      <c r="M11" s="26">
        <v>679.1</v>
      </c>
      <c r="N11" s="26" t="s">
        <v>25</v>
      </c>
      <c r="O11" s="26">
        <v>1676.4</v>
      </c>
      <c r="P11" s="26">
        <v>676.6</v>
      </c>
      <c r="Q11" s="26">
        <v>225.96</v>
      </c>
      <c r="R11" s="26" t="s">
        <v>25</v>
      </c>
      <c r="S11" s="26">
        <v>7593.56</v>
      </c>
      <c r="T11" s="26"/>
      <c r="U11" s="27"/>
    </row>
    <row r="12" spans="1:21" s="33" customFormat="1" ht="30" customHeight="1" x14ac:dyDescent="0.25">
      <c r="A12" s="34"/>
      <c r="B12" s="35"/>
      <c r="C12" s="36"/>
      <c r="D12" s="37">
        <f>SUM(D13:D53)</f>
        <v>64094.120000000039</v>
      </c>
      <c r="E12" s="37">
        <f t="shared" ref="E12:T12" si="0">SUM(E13:E53)</f>
        <v>44239.900000000031</v>
      </c>
      <c r="F12" s="37">
        <f t="shared" si="0"/>
        <v>4840.26</v>
      </c>
      <c r="G12" s="37">
        <f t="shared" si="0"/>
        <v>0</v>
      </c>
      <c r="H12" s="37">
        <f t="shared" si="0"/>
        <v>2778.96</v>
      </c>
      <c r="I12" s="37">
        <f t="shared" si="0"/>
        <v>0</v>
      </c>
      <c r="J12" s="37">
        <f t="shared" si="0"/>
        <v>3.8</v>
      </c>
      <c r="K12" s="37">
        <f t="shared" si="0"/>
        <v>752.9</v>
      </c>
      <c r="L12" s="37">
        <f t="shared" si="0"/>
        <v>8933.5</v>
      </c>
      <c r="M12" s="37">
        <f t="shared" si="0"/>
        <v>521.29999999999995</v>
      </c>
      <c r="N12" s="37">
        <f t="shared" si="0"/>
        <v>0</v>
      </c>
      <c r="O12" s="37">
        <f t="shared" si="0"/>
        <v>1676.3999999999999</v>
      </c>
      <c r="P12" s="37">
        <f t="shared" si="0"/>
        <v>347.1</v>
      </c>
      <c r="Q12" s="37">
        <f t="shared" si="0"/>
        <v>185.95999999999998</v>
      </c>
      <c r="R12" s="37">
        <f t="shared" si="0"/>
        <v>0</v>
      </c>
      <c r="S12" s="37">
        <f t="shared" si="0"/>
        <v>5728.5599999999995</v>
      </c>
      <c r="T12" s="37">
        <f t="shared" si="0"/>
        <v>0</v>
      </c>
      <c r="U12" s="38"/>
    </row>
    <row r="13" spans="1:21" x14ac:dyDescent="0.25">
      <c r="A13" s="28" t="s">
        <v>23</v>
      </c>
      <c r="B13" s="29"/>
      <c r="C13" s="30" t="s">
        <v>29</v>
      </c>
      <c r="D13" s="31">
        <v>11698.9</v>
      </c>
      <c r="E13" s="32">
        <v>10966.1</v>
      </c>
      <c r="F13" s="32">
        <v>231.7</v>
      </c>
      <c r="G13" s="32" t="s">
        <v>25</v>
      </c>
      <c r="H13" s="32" t="s">
        <v>25</v>
      </c>
      <c r="I13" s="32" t="s">
        <v>25</v>
      </c>
      <c r="J13" s="32">
        <v>3.8</v>
      </c>
      <c r="K13" s="32">
        <v>178</v>
      </c>
      <c r="L13" s="32">
        <v>43.6</v>
      </c>
      <c r="M13" s="32">
        <v>123.7</v>
      </c>
      <c r="N13" s="32" t="s">
        <v>25</v>
      </c>
      <c r="O13" s="32" t="s">
        <v>25</v>
      </c>
      <c r="P13" s="32">
        <v>152</v>
      </c>
      <c r="Q13" s="32" t="s">
        <v>25</v>
      </c>
      <c r="R13" s="32" t="s">
        <v>25</v>
      </c>
      <c r="S13" s="32" t="s">
        <v>25</v>
      </c>
      <c r="T13" s="32"/>
      <c r="U13" s="27"/>
    </row>
    <row r="14" spans="1:21" ht="64.5" x14ac:dyDescent="0.25">
      <c r="A14" s="28" t="s">
        <v>23</v>
      </c>
      <c r="B14" s="29"/>
      <c r="C14" s="30" t="s">
        <v>30</v>
      </c>
      <c r="D14" s="31">
        <v>997.6</v>
      </c>
      <c r="E14" s="32">
        <v>997.6</v>
      </c>
      <c r="F14" s="32" t="s">
        <v>25</v>
      </c>
      <c r="G14" s="32" t="s">
        <v>25</v>
      </c>
      <c r="H14" s="32" t="s">
        <v>25</v>
      </c>
      <c r="I14" s="32" t="s">
        <v>25</v>
      </c>
      <c r="J14" s="32" t="s">
        <v>25</v>
      </c>
      <c r="K14" s="32" t="s">
        <v>25</v>
      </c>
      <c r="L14" s="32" t="s">
        <v>25</v>
      </c>
      <c r="M14" s="32" t="s">
        <v>25</v>
      </c>
      <c r="N14" s="32" t="s">
        <v>25</v>
      </c>
      <c r="O14" s="32" t="s">
        <v>25</v>
      </c>
      <c r="P14" s="32" t="s">
        <v>25</v>
      </c>
      <c r="Q14" s="32" t="s">
        <v>25</v>
      </c>
      <c r="R14" s="32" t="s">
        <v>25</v>
      </c>
      <c r="S14" s="32" t="s">
        <v>25</v>
      </c>
      <c r="T14" s="32" t="s">
        <v>31</v>
      </c>
      <c r="U14" s="27"/>
    </row>
    <row r="15" spans="1:21" ht="64.5" x14ac:dyDescent="0.25">
      <c r="A15" s="28" t="s">
        <v>23</v>
      </c>
      <c r="B15" s="29"/>
      <c r="C15" s="30" t="s">
        <v>32</v>
      </c>
      <c r="D15" s="31">
        <v>236.9</v>
      </c>
      <c r="E15" s="32">
        <v>236.9</v>
      </c>
      <c r="F15" s="32" t="s">
        <v>25</v>
      </c>
      <c r="G15" s="32" t="s">
        <v>25</v>
      </c>
      <c r="H15" s="32" t="s">
        <v>25</v>
      </c>
      <c r="I15" s="32" t="s">
        <v>25</v>
      </c>
      <c r="J15" s="32" t="s">
        <v>25</v>
      </c>
      <c r="K15" s="32" t="s">
        <v>25</v>
      </c>
      <c r="L15" s="32" t="s">
        <v>25</v>
      </c>
      <c r="M15" s="32" t="s">
        <v>25</v>
      </c>
      <c r="N15" s="32" t="s">
        <v>25</v>
      </c>
      <c r="O15" s="32" t="s">
        <v>25</v>
      </c>
      <c r="P15" s="32" t="s">
        <v>25</v>
      </c>
      <c r="Q15" s="32" t="s">
        <v>25</v>
      </c>
      <c r="R15" s="32" t="s">
        <v>25</v>
      </c>
      <c r="S15" s="32" t="s">
        <v>25</v>
      </c>
      <c r="T15" s="32" t="s">
        <v>31</v>
      </c>
      <c r="U15" s="27"/>
    </row>
    <row r="16" spans="1:21" ht="64.5" x14ac:dyDescent="0.25">
      <c r="A16" s="28" t="s">
        <v>23</v>
      </c>
      <c r="B16" s="29"/>
      <c r="C16" s="30" t="s">
        <v>33</v>
      </c>
      <c r="D16" s="31">
        <v>10966.36</v>
      </c>
      <c r="E16" s="32">
        <v>3261.1</v>
      </c>
      <c r="F16" s="32">
        <v>2493.06</v>
      </c>
      <c r="G16" s="32" t="s">
        <v>25</v>
      </c>
      <c r="H16" s="32" t="s">
        <v>25</v>
      </c>
      <c r="I16" s="32" t="s">
        <v>25</v>
      </c>
      <c r="J16" s="32" t="s">
        <v>25</v>
      </c>
      <c r="K16" s="32" t="s">
        <v>25</v>
      </c>
      <c r="L16" s="32">
        <v>4170.8</v>
      </c>
      <c r="M16" s="32">
        <v>1</v>
      </c>
      <c r="N16" s="32" t="s">
        <v>25</v>
      </c>
      <c r="O16" s="32">
        <v>1040.4000000000001</v>
      </c>
      <c r="P16" s="32" t="s">
        <v>25</v>
      </c>
      <c r="Q16" s="32">
        <v>60.07</v>
      </c>
      <c r="R16" s="32" t="s">
        <v>25</v>
      </c>
      <c r="S16" s="32">
        <v>180.3</v>
      </c>
      <c r="T16" s="32" t="s">
        <v>31</v>
      </c>
      <c r="U16" s="27"/>
    </row>
    <row r="17" spans="1:21" ht="64.5" x14ac:dyDescent="0.25">
      <c r="A17" s="28" t="s">
        <v>23</v>
      </c>
      <c r="B17" s="29"/>
      <c r="C17" s="30" t="s">
        <v>34</v>
      </c>
      <c r="D17" s="31">
        <v>592.20000000000005</v>
      </c>
      <c r="E17" s="32">
        <v>592.20000000000005</v>
      </c>
      <c r="F17" s="32" t="s">
        <v>25</v>
      </c>
      <c r="G17" s="32" t="s">
        <v>25</v>
      </c>
      <c r="H17" s="32" t="s">
        <v>25</v>
      </c>
      <c r="I17" s="32" t="s">
        <v>25</v>
      </c>
      <c r="J17" s="32" t="s">
        <v>25</v>
      </c>
      <c r="K17" s="32" t="s">
        <v>25</v>
      </c>
      <c r="L17" s="32" t="s">
        <v>25</v>
      </c>
      <c r="M17" s="32" t="s">
        <v>25</v>
      </c>
      <c r="N17" s="32" t="s">
        <v>25</v>
      </c>
      <c r="O17" s="32" t="s">
        <v>25</v>
      </c>
      <c r="P17" s="32" t="s">
        <v>25</v>
      </c>
      <c r="Q17" s="32" t="s">
        <v>25</v>
      </c>
      <c r="R17" s="32" t="s">
        <v>25</v>
      </c>
      <c r="S17" s="32" t="s">
        <v>25</v>
      </c>
      <c r="T17" s="32" t="s">
        <v>31</v>
      </c>
      <c r="U17" s="27"/>
    </row>
    <row r="18" spans="1:21" ht="64.5" x14ac:dyDescent="0.25">
      <c r="A18" s="28" t="s">
        <v>23</v>
      </c>
      <c r="B18" s="29"/>
      <c r="C18" s="30" t="s">
        <v>35</v>
      </c>
      <c r="D18" s="31">
        <v>236.9</v>
      </c>
      <c r="E18" s="32">
        <v>236.9</v>
      </c>
      <c r="F18" s="32" t="s">
        <v>25</v>
      </c>
      <c r="G18" s="32" t="s">
        <v>25</v>
      </c>
      <c r="H18" s="32" t="s">
        <v>25</v>
      </c>
      <c r="I18" s="32" t="s">
        <v>25</v>
      </c>
      <c r="J18" s="32" t="s">
        <v>25</v>
      </c>
      <c r="K18" s="32" t="s">
        <v>25</v>
      </c>
      <c r="L18" s="32" t="s">
        <v>25</v>
      </c>
      <c r="M18" s="32" t="s">
        <v>25</v>
      </c>
      <c r="N18" s="32" t="s">
        <v>25</v>
      </c>
      <c r="O18" s="32" t="s">
        <v>25</v>
      </c>
      <c r="P18" s="32" t="s">
        <v>25</v>
      </c>
      <c r="Q18" s="32" t="s">
        <v>25</v>
      </c>
      <c r="R18" s="32" t="s">
        <v>25</v>
      </c>
      <c r="S18" s="32" t="s">
        <v>25</v>
      </c>
      <c r="T18" s="32" t="s">
        <v>31</v>
      </c>
      <c r="U18" s="27"/>
    </row>
    <row r="19" spans="1:21" ht="64.5" x14ac:dyDescent="0.25">
      <c r="A19" s="28" t="s">
        <v>23</v>
      </c>
      <c r="B19" s="29"/>
      <c r="C19" s="30" t="s">
        <v>36</v>
      </c>
      <c r="D19" s="31">
        <v>236.9</v>
      </c>
      <c r="E19" s="32">
        <v>236.9</v>
      </c>
      <c r="F19" s="32" t="s">
        <v>25</v>
      </c>
      <c r="G19" s="32" t="s">
        <v>25</v>
      </c>
      <c r="H19" s="32" t="s">
        <v>25</v>
      </c>
      <c r="I19" s="32" t="s">
        <v>25</v>
      </c>
      <c r="J19" s="32" t="s">
        <v>25</v>
      </c>
      <c r="K19" s="32" t="s">
        <v>25</v>
      </c>
      <c r="L19" s="32" t="s">
        <v>25</v>
      </c>
      <c r="M19" s="32" t="s">
        <v>25</v>
      </c>
      <c r="N19" s="32" t="s">
        <v>25</v>
      </c>
      <c r="O19" s="32" t="s">
        <v>25</v>
      </c>
      <c r="P19" s="32" t="s">
        <v>25</v>
      </c>
      <c r="Q19" s="32" t="s">
        <v>25</v>
      </c>
      <c r="R19" s="32" t="s">
        <v>25</v>
      </c>
      <c r="S19" s="32" t="s">
        <v>25</v>
      </c>
      <c r="T19" s="32" t="s">
        <v>31</v>
      </c>
      <c r="U19" s="27"/>
    </row>
    <row r="20" spans="1:21" ht="64.5" x14ac:dyDescent="0.25">
      <c r="A20" s="28" t="s">
        <v>23</v>
      </c>
      <c r="B20" s="29"/>
      <c r="C20" s="30" t="s">
        <v>37</v>
      </c>
      <c r="D20" s="31">
        <v>236.9</v>
      </c>
      <c r="E20" s="32">
        <v>236.9</v>
      </c>
      <c r="F20" s="32" t="s">
        <v>25</v>
      </c>
      <c r="G20" s="32" t="s">
        <v>25</v>
      </c>
      <c r="H20" s="32" t="s">
        <v>25</v>
      </c>
      <c r="I20" s="32" t="s">
        <v>25</v>
      </c>
      <c r="J20" s="32" t="s">
        <v>25</v>
      </c>
      <c r="K20" s="32" t="s">
        <v>25</v>
      </c>
      <c r="L20" s="32" t="s">
        <v>25</v>
      </c>
      <c r="M20" s="32" t="s">
        <v>25</v>
      </c>
      <c r="N20" s="32" t="s">
        <v>25</v>
      </c>
      <c r="O20" s="32" t="s">
        <v>25</v>
      </c>
      <c r="P20" s="32" t="s">
        <v>25</v>
      </c>
      <c r="Q20" s="32" t="s">
        <v>25</v>
      </c>
      <c r="R20" s="32" t="s">
        <v>25</v>
      </c>
      <c r="S20" s="32" t="s">
        <v>25</v>
      </c>
      <c r="T20" s="32" t="s">
        <v>31</v>
      </c>
      <c r="U20" s="27"/>
    </row>
    <row r="21" spans="1:21" ht="64.5" x14ac:dyDescent="0.25">
      <c r="A21" s="28" t="s">
        <v>23</v>
      </c>
      <c r="B21" s="29"/>
      <c r="C21" s="30" t="s">
        <v>38</v>
      </c>
      <c r="D21" s="31">
        <v>236.9</v>
      </c>
      <c r="E21" s="32">
        <v>236.9</v>
      </c>
      <c r="F21" s="32" t="s">
        <v>25</v>
      </c>
      <c r="G21" s="32" t="s">
        <v>25</v>
      </c>
      <c r="H21" s="32" t="s">
        <v>25</v>
      </c>
      <c r="I21" s="32" t="s">
        <v>25</v>
      </c>
      <c r="J21" s="32" t="s">
        <v>25</v>
      </c>
      <c r="K21" s="32" t="s">
        <v>25</v>
      </c>
      <c r="L21" s="32" t="s">
        <v>25</v>
      </c>
      <c r="M21" s="32" t="s">
        <v>25</v>
      </c>
      <c r="N21" s="32" t="s">
        <v>25</v>
      </c>
      <c r="O21" s="32" t="s">
        <v>25</v>
      </c>
      <c r="P21" s="32" t="s">
        <v>25</v>
      </c>
      <c r="Q21" s="32" t="s">
        <v>25</v>
      </c>
      <c r="R21" s="32" t="s">
        <v>25</v>
      </c>
      <c r="S21" s="32" t="s">
        <v>25</v>
      </c>
      <c r="T21" s="32" t="s">
        <v>31</v>
      </c>
      <c r="U21" s="27"/>
    </row>
    <row r="22" spans="1:21" ht="64.5" x14ac:dyDescent="0.25">
      <c r="A22" s="28" t="s">
        <v>23</v>
      </c>
      <c r="B22" s="29"/>
      <c r="C22" s="30" t="s">
        <v>39</v>
      </c>
      <c r="D22" s="31">
        <v>355.4</v>
      </c>
      <c r="E22" s="32">
        <v>355.4</v>
      </c>
      <c r="F22" s="32" t="s">
        <v>25</v>
      </c>
      <c r="G22" s="32" t="s">
        <v>25</v>
      </c>
      <c r="H22" s="32" t="s">
        <v>25</v>
      </c>
      <c r="I22" s="32" t="s">
        <v>25</v>
      </c>
      <c r="J22" s="32" t="s">
        <v>25</v>
      </c>
      <c r="K22" s="32" t="s">
        <v>25</v>
      </c>
      <c r="L22" s="32" t="s">
        <v>25</v>
      </c>
      <c r="M22" s="32" t="s">
        <v>25</v>
      </c>
      <c r="N22" s="32" t="s">
        <v>25</v>
      </c>
      <c r="O22" s="32" t="s">
        <v>25</v>
      </c>
      <c r="P22" s="32" t="s">
        <v>25</v>
      </c>
      <c r="Q22" s="32" t="s">
        <v>25</v>
      </c>
      <c r="R22" s="32" t="s">
        <v>25</v>
      </c>
      <c r="S22" s="32" t="s">
        <v>25</v>
      </c>
      <c r="T22" s="32" t="s">
        <v>31</v>
      </c>
      <c r="U22" s="27"/>
    </row>
    <row r="23" spans="1:21" ht="64.5" x14ac:dyDescent="0.25">
      <c r="A23" s="28" t="s">
        <v>23</v>
      </c>
      <c r="B23" s="29"/>
      <c r="C23" s="30" t="s">
        <v>40</v>
      </c>
      <c r="D23" s="31">
        <v>236.9</v>
      </c>
      <c r="E23" s="32">
        <v>236.9</v>
      </c>
      <c r="F23" s="32" t="s">
        <v>25</v>
      </c>
      <c r="G23" s="32" t="s">
        <v>25</v>
      </c>
      <c r="H23" s="32" t="s">
        <v>25</v>
      </c>
      <c r="I23" s="32" t="s">
        <v>25</v>
      </c>
      <c r="J23" s="32" t="s">
        <v>25</v>
      </c>
      <c r="K23" s="32" t="s">
        <v>25</v>
      </c>
      <c r="L23" s="32" t="s">
        <v>25</v>
      </c>
      <c r="M23" s="32" t="s">
        <v>25</v>
      </c>
      <c r="N23" s="32" t="s">
        <v>25</v>
      </c>
      <c r="O23" s="32" t="s">
        <v>25</v>
      </c>
      <c r="P23" s="32" t="s">
        <v>25</v>
      </c>
      <c r="Q23" s="32" t="s">
        <v>25</v>
      </c>
      <c r="R23" s="32" t="s">
        <v>25</v>
      </c>
      <c r="S23" s="32" t="s">
        <v>25</v>
      </c>
      <c r="T23" s="32" t="s">
        <v>31</v>
      </c>
      <c r="U23" s="27"/>
    </row>
    <row r="24" spans="1:21" ht="64.5" x14ac:dyDescent="0.25">
      <c r="A24" s="28" t="s">
        <v>23</v>
      </c>
      <c r="B24" s="29"/>
      <c r="C24" s="30" t="s">
        <v>41</v>
      </c>
      <c r="D24" s="31">
        <v>236.9</v>
      </c>
      <c r="E24" s="32">
        <v>236.9</v>
      </c>
      <c r="F24" s="32" t="s">
        <v>25</v>
      </c>
      <c r="G24" s="32" t="s">
        <v>25</v>
      </c>
      <c r="H24" s="32" t="s">
        <v>25</v>
      </c>
      <c r="I24" s="32" t="s">
        <v>25</v>
      </c>
      <c r="J24" s="32" t="s">
        <v>25</v>
      </c>
      <c r="K24" s="32" t="s">
        <v>25</v>
      </c>
      <c r="L24" s="32" t="s">
        <v>25</v>
      </c>
      <c r="M24" s="32" t="s">
        <v>25</v>
      </c>
      <c r="N24" s="32" t="s">
        <v>25</v>
      </c>
      <c r="O24" s="32" t="s">
        <v>25</v>
      </c>
      <c r="P24" s="32" t="s">
        <v>25</v>
      </c>
      <c r="Q24" s="32" t="s">
        <v>25</v>
      </c>
      <c r="R24" s="32" t="s">
        <v>25</v>
      </c>
      <c r="S24" s="32" t="s">
        <v>25</v>
      </c>
      <c r="T24" s="32" t="s">
        <v>31</v>
      </c>
      <c r="U24" s="27"/>
    </row>
    <row r="25" spans="1:21" ht="64.5" x14ac:dyDescent="0.25">
      <c r="A25" s="28" t="s">
        <v>23</v>
      </c>
      <c r="B25" s="29"/>
      <c r="C25" s="30" t="s">
        <v>42</v>
      </c>
      <c r="D25" s="31">
        <v>236.9</v>
      </c>
      <c r="E25" s="32">
        <v>236.9</v>
      </c>
      <c r="F25" s="32" t="s">
        <v>25</v>
      </c>
      <c r="G25" s="32" t="s">
        <v>25</v>
      </c>
      <c r="H25" s="32" t="s">
        <v>25</v>
      </c>
      <c r="I25" s="32" t="s">
        <v>25</v>
      </c>
      <c r="J25" s="32" t="s">
        <v>25</v>
      </c>
      <c r="K25" s="32" t="s">
        <v>25</v>
      </c>
      <c r="L25" s="32" t="s">
        <v>25</v>
      </c>
      <c r="M25" s="32" t="s">
        <v>25</v>
      </c>
      <c r="N25" s="32" t="s">
        <v>25</v>
      </c>
      <c r="O25" s="32" t="s">
        <v>25</v>
      </c>
      <c r="P25" s="32" t="s">
        <v>25</v>
      </c>
      <c r="Q25" s="32" t="s">
        <v>25</v>
      </c>
      <c r="R25" s="32" t="s">
        <v>25</v>
      </c>
      <c r="S25" s="32" t="s">
        <v>25</v>
      </c>
      <c r="T25" s="32" t="s">
        <v>31</v>
      </c>
      <c r="U25" s="27"/>
    </row>
    <row r="26" spans="1:21" ht="64.5" x14ac:dyDescent="0.25">
      <c r="A26" s="28" t="s">
        <v>23</v>
      </c>
      <c r="B26" s="29"/>
      <c r="C26" s="30" t="s">
        <v>43</v>
      </c>
      <c r="D26" s="31">
        <v>236.9</v>
      </c>
      <c r="E26" s="32">
        <v>236.9</v>
      </c>
      <c r="F26" s="32" t="s">
        <v>25</v>
      </c>
      <c r="G26" s="32" t="s">
        <v>25</v>
      </c>
      <c r="H26" s="32" t="s">
        <v>25</v>
      </c>
      <c r="I26" s="32" t="s">
        <v>25</v>
      </c>
      <c r="J26" s="32" t="s">
        <v>25</v>
      </c>
      <c r="K26" s="32" t="s">
        <v>25</v>
      </c>
      <c r="L26" s="32" t="s">
        <v>25</v>
      </c>
      <c r="M26" s="32" t="s">
        <v>25</v>
      </c>
      <c r="N26" s="32" t="s">
        <v>25</v>
      </c>
      <c r="O26" s="32" t="s">
        <v>25</v>
      </c>
      <c r="P26" s="32" t="s">
        <v>25</v>
      </c>
      <c r="Q26" s="32" t="s">
        <v>25</v>
      </c>
      <c r="R26" s="32" t="s">
        <v>25</v>
      </c>
      <c r="S26" s="32" t="s">
        <v>25</v>
      </c>
      <c r="T26" s="32" t="s">
        <v>31</v>
      </c>
      <c r="U26" s="27"/>
    </row>
    <row r="27" spans="1:21" ht="64.5" x14ac:dyDescent="0.25">
      <c r="A27" s="28" t="s">
        <v>23</v>
      </c>
      <c r="B27" s="29"/>
      <c r="C27" s="30" t="s">
        <v>44</v>
      </c>
      <c r="D27" s="31">
        <v>473.8</v>
      </c>
      <c r="E27" s="32">
        <v>473.8</v>
      </c>
      <c r="F27" s="32" t="s">
        <v>25</v>
      </c>
      <c r="G27" s="32" t="s">
        <v>25</v>
      </c>
      <c r="H27" s="32" t="s">
        <v>25</v>
      </c>
      <c r="I27" s="32" t="s">
        <v>25</v>
      </c>
      <c r="J27" s="32" t="s">
        <v>25</v>
      </c>
      <c r="K27" s="32" t="s">
        <v>25</v>
      </c>
      <c r="L27" s="32" t="s">
        <v>25</v>
      </c>
      <c r="M27" s="32" t="s">
        <v>25</v>
      </c>
      <c r="N27" s="32" t="s">
        <v>25</v>
      </c>
      <c r="O27" s="32" t="s">
        <v>25</v>
      </c>
      <c r="P27" s="32" t="s">
        <v>25</v>
      </c>
      <c r="Q27" s="32" t="s">
        <v>25</v>
      </c>
      <c r="R27" s="32" t="s">
        <v>25</v>
      </c>
      <c r="S27" s="32" t="s">
        <v>25</v>
      </c>
      <c r="T27" s="32" t="s">
        <v>31</v>
      </c>
      <c r="U27" s="27"/>
    </row>
    <row r="28" spans="1:21" ht="64.5" x14ac:dyDescent="0.25">
      <c r="A28" s="28" t="s">
        <v>23</v>
      </c>
      <c r="B28" s="29"/>
      <c r="C28" s="30" t="s">
        <v>45</v>
      </c>
      <c r="D28" s="31">
        <v>738.4</v>
      </c>
      <c r="E28" s="32">
        <v>738.4</v>
      </c>
      <c r="F28" s="32" t="s">
        <v>25</v>
      </c>
      <c r="G28" s="32" t="s">
        <v>25</v>
      </c>
      <c r="H28" s="32" t="s">
        <v>25</v>
      </c>
      <c r="I28" s="32" t="s">
        <v>25</v>
      </c>
      <c r="J28" s="32" t="s">
        <v>25</v>
      </c>
      <c r="K28" s="32" t="s">
        <v>25</v>
      </c>
      <c r="L28" s="32" t="s">
        <v>25</v>
      </c>
      <c r="M28" s="32" t="s">
        <v>25</v>
      </c>
      <c r="N28" s="32" t="s">
        <v>25</v>
      </c>
      <c r="O28" s="32" t="s">
        <v>25</v>
      </c>
      <c r="P28" s="32" t="s">
        <v>25</v>
      </c>
      <c r="Q28" s="32" t="s">
        <v>25</v>
      </c>
      <c r="R28" s="32" t="s">
        <v>25</v>
      </c>
      <c r="S28" s="32" t="s">
        <v>25</v>
      </c>
      <c r="T28" s="32" t="s">
        <v>31</v>
      </c>
      <c r="U28" s="27"/>
    </row>
    <row r="29" spans="1:21" ht="77.25" x14ac:dyDescent="0.25">
      <c r="A29" s="28" t="s">
        <v>23</v>
      </c>
      <c r="B29" s="29"/>
      <c r="C29" s="30" t="s">
        <v>46</v>
      </c>
      <c r="D29" s="31">
        <v>236.9</v>
      </c>
      <c r="E29" s="32">
        <v>236.9</v>
      </c>
      <c r="F29" s="32" t="s">
        <v>25</v>
      </c>
      <c r="G29" s="32" t="s">
        <v>25</v>
      </c>
      <c r="H29" s="32" t="s">
        <v>25</v>
      </c>
      <c r="I29" s="32" t="s">
        <v>25</v>
      </c>
      <c r="J29" s="32" t="s">
        <v>25</v>
      </c>
      <c r="K29" s="32" t="s">
        <v>25</v>
      </c>
      <c r="L29" s="32" t="s">
        <v>25</v>
      </c>
      <c r="M29" s="32" t="s">
        <v>25</v>
      </c>
      <c r="N29" s="32" t="s">
        <v>25</v>
      </c>
      <c r="O29" s="32" t="s">
        <v>25</v>
      </c>
      <c r="P29" s="32" t="s">
        <v>25</v>
      </c>
      <c r="Q29" s="32" t="s">
        <v>25</v>
      </c>
      <c r="R29" s="32" t="s">
        <v>25</v>
      </c>
      <c r="S29" s="32" t="s">
        <v>25</v>
      </c>
      <c r="T29" s="32" t="s">
        <v>31</v>
      </c>
      <c r="U29" s="27"/>
    </row>
    <row r="30" spans="1:21" ht="64.5" x14ac:dyDescent="0.25">
      <c r="A30" s="28" t="s">
        <v>23</v>
      </c>
      <c r="B30" s="29"/>
      <c r="C30" s="30" t="s">
        <v>47</v>
      </c>
      <c r="D30" s="31">
        <v>236.9</v>
      </c>
      <c r="E30" s="32">
        <v>236.9</v>
      </c>
      <c r="F30" s="32" t="s">
        <v>25</v>
      </c>
      <c r="G30" s="32" t="s">
        <v>25</v>
      </c>
      <c r="H30" s="32" t="s">
        <v>25</v>
      </c>
      <c r="I30" s="32" t="s">
        <v>25</v>
      </c>
      <c r="J30" s="32" t="s">
        <v>25</v>
      </c>
      <c r="K30" s="32" t="s">
        <v>25</v>
      </c>
      <c r="L30" s="32" t="s">
        <v>25</v>
      </c>
      <c r="M30" s="32" t="s">
        <v>25</v>
      </c>
      <c r="N30" s="32" t="s">
        <v>25</v>
      </c>
      <c r="O30" s="32" t="s">
        <v>25</v>
      </c>
      <c r="P30" s="32" t="s">
        <v>25</v>
      </c>
      <c r="Q30" s="32" t="s">
        <v>25</v>
      </c>
      <c r="R30" s="32" t="s">
        <v>25</v>
      </c>
      <c r="S30" s="32" t="s">
        <v>25</v>
      </c>
      <c r="T30" s="32" t="s">
        <v>31</v>
      </c>
      <c r="U30" s="27"/>
    </row>
    <row r="31" spans="1:21" ht="64.5" x14ac:dyDescent="0.25">
      <c r="A31" s="28" t="s">
        <v>23</v>
      </c>
      <c r="B31" s="29"/>
      <c r="C31" s="30" t="s">
        <v>48</v>
      </c>
      <c r="D31" s="31">
        <v>501.6</v>
      </c>
      <c r="E31" s="32">
        <v>501.6</v>
      </c>
      <c r="F31" s="32" t="s">
        <v>25</v>
      </c>
      <c r="G31" s="32" t="s">
        <v>25</v>
      </c>
      <c r="H31" s="32" t="s">
        <v>25</v>
      </c>
      <c r="I31" s="32" t="s">
        <v>25</v>
      </c>
      <c r="J31" s="32" t="s">
        <v>25</v>
      </c>
      <c r="K31" s="32" t="s">
        <v>25</v>
      </c>
      <c r="L31" s="32" t="s">
        <v>25</v>
      </c>
      <c r="M31" s="32" t="s">
        <v>25</v>
      </c>
      <c r="N31" s="32" t="s">
        <v>25</v>
      </c>
      <c r="O31" s="32" t="s">
        <v>25</v>
      </c>
      <c r="P31" s="32" t="s">
        <v>25</v>
      </c>
      <c r="Q31" s="32" t="s">
        <v>25</v>
      </c>
      <c r="R31" s="32" t="s">
        <v>25</v>
      </c>
      <c r="S31" s="32" t="s">
        <v>25</v>
      </c>
      <c r="T31" s="32" t="s">
        <v>31</v>
      </c>
      <c r="U31" s="27"/>
    </row>
    <row r="32" spans="1:21" ht="51.75" x14ac:dyDescent="0.25">
      <c r="A32" s="28" t="s">
        <v>23</v>
      </c>
      <c r="B32" s="29"/>
      <c r="C32" s="30" t="s">
        <v>49</v>
      </c>
      <c r="D32" s="31">
        <v>236.9</v>
      </c>
      <c r="E32" s="32">
        <v>236.9</v>
      </c>
      <c r="F32" s="32" t="s">
        <v>25</v>
      </c>
      <c r="G32" s="32" t="s">
        <v>25</v>
      </c>
      <c r="H32" s="32" t="s">
        <v>25</v>
      </c>
      <c r="I32" s="32" t="s">
        <v>25</v>
      </c>
      <c r="J32" s="32" t="s">
        <v>25</v>
      </c>
      <c r="K32" s="32" t="s">
        <v>25</v>
      </c>
      <c r="L32" s="32" t="s">
        <v>25</v>
      </c>
      <c r="M32" s="32" t="s">
        <v>25</v>
      </c>
      <c r="N32" s="32" t="s">
        <v>25</v>
      </c>
      <c r="O32" s="32" t="s">
        <v>25</v>
      </c>
      <c r="P32" s="32" t="s">
        <v>25</v>
      </c>
      <c r="Q32" s="32" t="s">
        <v>25</v>
      </c>
      <c r="R32" s="32" t="s">
        <v>25</v>
      </c>
      <c r="S32" s="32" t="s">
        <v>25</v>
      </c>
      <c r="T32" s="32" t="s">
        <v>31</v>
      </c>
      <c r="U32" s="27"/>
    </row>
    <row r="33" spans="1:21" ht="51.75" x14ac:dyDescent="0.25">
      <c r="A33" s="28" t="s">
        <v>23</v>
      </c>
      <c r="B33" s="29"/>
      <c r="C33" s="30" t="s">
        <v>50</v>
      </c>
      <c r="D33" s="31">
        <v>4431.45</v>
      </c>
      <c r="E33" s="32">
        <v>710.7</v>
      </c>
      <c r="F33" s="32">
        <v>1319.95</v>
      </c>
      <c r="G33" s="32" t="s">
        <v>25</v>
      </c>
      <c r="H33" s="32" t="s">
        <v>25</v>
      </c>
      <c r="I33" s="32" t="s">
        <v>25</v>
      </c>
      <c r="J33" s="32" t="s">
        <v>25</v>
      </c>
      <c r="K33" s="32" t="s">
        <v>25</v>
      </c>
      <c r="L33" s="32">
        <v>1892</v>
      </c>
      <c r="M33" s="32" t="s">
        <v>25</v>
      </c>
      <c r="N33" s="32" t="s">
        <v>25</v>
      </c>
      <c r="O33" s="32">
        <v>508.8</v>
      </c>
      <c r="P33" s="32" t="s">
        <v>25</v>
      </c>
      <c r="Q33" s="32">
        <v>30.59</v>
      </c>
      <c r="R33" s="32" t="s">
        <v>25</v>
      </c>
      <c r="S33" s="32">
        <v>649.86</v>
      </c>
      <c r="T33" s="32" t="s">
        <v>31</v>
      </c>
      <c r="U33" s="27"/>
    </row>
    <row r="34" spans="1:21" ht="51.75" x14ac:dyDescent="0.25">
      <c r="A34" s="28" t="s">
        <v>23</v>
      </c>
      <c r="B34" s="29"/>
      <c r="C34" s="30" t="s">
        <v>51</v>
      </c>
      <c r="D34" s="31">
        <v>236.9</v>
      </c>
      <c r="E34" s="32">
        <v>236.9</v>
      </c>
      <c r="F34" s="32" t="s">
        <v>25</v>
      </c>
      <c r="G34" s="32" t="s">
        <v>25</v>
      </c>
      <c r="H34" s="32" t="s">
        <v>25</v>
      </c>
      <c r="I34" s="32" t="s">
        <v>25</v>
      </c>
      <c r="J34" s="32" t="s">
        <v>25</v>
      </c>
      <c r="K34" s="32" t="s">
        <v>25</v>
      </c>
      <c r="L34" s="32" t="s">
        <v>25</v>
      </c>
      <c r="M34" s="32" t="s">
        <v>25</v>
      </c>
      <c r="N34" s="32" t="s">
        <v>25</v>
      </c>
      <c r="O34" s="32" t="s">
        <v>25</v>
      </c>
      <c r="P34" s="32" t="s">
        <v>25</v>
      </c>
      <c r="Q34" s="32" t="s">
        <v>25</v>
      </c>
      <c r="R34" s="32" t="s">
        <v>25</v>
      </c>
      <c r="S34" s="32" t="s">
        <v>25</v>
      </c>
      <c r="T34" s="32" t="s">
        <v>31</v>
      </c>
      <c r="U34" s="27"/>
    </row>
    <row r="35" spans="1:21" ht="51.75" x14ac:dyDescent="0.25">
      <c r="A35" s="28" t="s">
        <v>23</v>
      </c>
      <c r="B35" s="29"/>
      <c r="C35" s="30" t="s">
        <v>52</v>
      </c>
      <c r="D35" s="31">
        <v>236.9</v>
      </c>
      <c r="E35" s="32">
        <v>236.9</v>
      </c>
      <c r="F35" s="32" t="s">
        <v>25</v>
      </c>
      <c r="G35" s="32" t="s">
        <v>25</v>
      </c>
      <c r="H35" s="32" t="s">
        <v>25</v>
      </c>
      <c r="I35" s="32" t="s">
        <v>25</v>
      </c>
      <c r="J35" s="32" t="s">
        <v>25</v>
      </c>
      <c r="K35" s="32" t="s">
        <v>25</v>
      </c>
      <c r="L35" s="32" t="s">
        <v>25</v>
      </c>
      <c r="M35" s="32" t="s">
        <v>25</v>
      </c>
      <c r="N35" s="32" t="s">
        <v>25</v>
      </c>
      <c r="O35" s="32" t="s">
        <v>25</v>
      </c>
      <c r="P35" s="32" t="s">
        <v>25</v>
      </c>
      <c r="Q35" s="32" t="s">
        <v>25</v>
      </c>
      <c r="R35" s="32" t="s">
        <v>25</v>
      </c>
      <c r="S35" s="32" t="s">
        <v>25</v>
      </c>
      <c r="T35" s="32" t="s">
        <v>31</v>
      </c>
      <c r="U35" s="27"/>
    </row>
    <row r="36" spans="1:21" ht="51.75" x14ac:dyDescent="0.25">
      <c r="A36" s="28" t="s">
        <v>23</v>
      </c>
      <c r="B36" s="29"/>
      <c r="C36" s="30" t="s">
        <v>53</v>
      </c>
      <c r="D36" s="31">
        <v>236.9</v>
      </c>
      <c r="E36" s="32">
        <v>236.9</v>
      </c>
      <c r="F36" s="32" t="s">
        <v>25</v>
      </c>
      <c r="G36" s="32" t="s">
        <v>25</v>
      </c>
      <c r="H36" s="32" t="s">
        <v>25</v>
      </c>
      <c r="I36" s="32" t="s">
        <v>25</v>
      </c>
      <c r="J36" s="32" t="s">
        <v>25</v>
      </c>
      <c r="K36" s="32" t="s">
        <v>25</v>
      </c>
      <c r="L36" s="32" t="s">
        <v>25</v>
      </c>
      <c r="M36" s="32" t="s">
        <v>25</v>
      </c>
      <c r="N36" s="32" t="s">
        <v>25</v>
      </c>
      <c r="O36" s="32" t="s">
        <v>25</v>
      </c>
      <c r="P36" s="32" t="s">
        <v>25</v>
      </c>
      <c r="Q36" s="32" t="s">
        <v>25</v>
      </c>
      <c r="R36" s="32" t="s">
        <v>25</v>
      </c>
      <c r="S36" s="32" t="s">
        <v>25</v>
      </c>
      <c r="T36" s="32" t="s">
        <v>31</v>
      </c>
      <c r="U36" s="27"/>
    </row>
    <row r="37" spans="1:21" ht="51.75" x14ac:dyDescent="0.25">
      <c r="A37" s="28" t="s">
        <v>23</v>
      </c>
      <c r="B37" s="29"/>
      <c r="C37" s="30" t="s">
        <v>54</v>
      </c>
      <c r="D37" s="31">
        <v>236.9</v>
      </c>
      <c r="E37" s="32">
        <v>236.9</v>
      </c>
      <c r="F37" s="32" t="s">
        <v>25</v>
      </c>
      <c r="G37" s="32" t="s">
        <v>25</v>
      </c>
      <c r="H37" s="32" t="s">
        <v>25</v>
      </c>
      <c r="I37" s="32" t="s">
        <v>25</v>
      </c>
      <c r="J37" s="32" t="s">
        <v>25</v>
      </c>
      <c r="K37" s="32" t="s">
        <v>25</v>
      </c>
      <c r="L37" s="32" t="s">
        <v>25</v>
      </c>
      <c r="M37" s="32" t="s">
        <v>25</v>
      </c>
      <c r="N37" s="32" t="s">
        <v>25</v>
      </c>
      <c r="O37" s="32" t="s">
        <v>25</v>
      </c>
      <c r="P37" s="32" t="s">
        <v>25</v>
      </c>
      <c r="Q37" s="32" t="s">
        <v>25</v>
      </c>
      <c r="R37" s="32" t="s">
        <v>25</v>
      </c>
      <c r="S37" s="32" t="s">
        <v>25</v>
      </c>
      <c r="T37" s="32" t="s">
        <v>31</v>
      </c>
      <c r="U37" s="27"/>
    </row>
    <row r="38" spans="1:21" ht="51.75" x14ac:dyDescent="0.25">
      <c r="A38" s="28" t="s">
        <v>23</v>
      </c>
      <c r="B38" s="29"/>
      <c r="C38" s="30" t="s">
        <v>55</v>
      </c>
      <c r="D38" s="31">
        <v>473.8</v>
      </c>
      <c r="E38" s="32">
        <v>473.8</v>
      </c>
      <c r="F38" s="32" t="s">
        <v>25</v>
      </c>
      <c r="G38" s="32" t="s">
        <v>25</v>
      </c>
      <c r="H38" s="32" t="s">
        <v>25</v>
      </c>
      <c r="I38" s="32" t="s">
        <v>25</v>
      </c>
      <c r="J38" s="32" t="s">
        <v>25</v>
      </c>
      <c r="K38" s="32" t="s">
        <v>25</v>
      </c>
      <c r="L38" s="32" t="s">
        <v>25</v>
      </c>
      <c r="M38" s="32" t="s">
        <v>25</v>
      </c>
      <c r="N38" s="32" t="s">
        <v>25</v>
      </c>
      <c r="O38" s="32" t="s">
        <v>25</v>
      </c>
      <c r="P38" s="32" t="s">
        <v>25</v>
      </c>
      <c r="Q38" s="32" t="s">
        <v>25</v>
      </c>
      <c r="R38" s="32" t="s">
        <v>25</v>
      </c>
      <c r="S38" s="32" t="s">
        <v>25</v>
      </c>
      <c r="T38" s="32" t="s">
        <v>31</v>
      </c>
      <c r="U38" s="27"/>
    </row>
    <row r="39" spans="1:21" ht="51.75" x14ac:dyDescent="0.25">
      <c r="A39" s="28" t="s">
        <v>23</v>
      </c>
      <c r="B39" s="29"/>
      <c r="C39" s="30" t="s">
        <v>56</v>
      </c>
      <c r="D39" s="31">
        <v>236.9</v>
      </c>
      <c r="E39" s="32">
        <v>236.9</v>
      </c>
      <c r="F39" s="32" t="s">
        <v>25</v>
      </c>
      <c r="G39" s="32" t="s">
        <v>25</v>
      </c>
      <c r="H39" s="32" t="s">
        <v>25</v>
      </c>
      <c r="I39" s="32" t="s">
        <v>25</v>
      </c>
      <c r="J39" s="32" t="s">
        <v>25</v>
      </c>
      <c r="K39" s="32" t="s">
        <v>25</v>
      </c>
      <c r="L39" s="32" t="s">
        <v>25</v>
      </c>
      <c r="M39" s="32" t="s">
        <v>25</v>
      </c>
      <c r="N39" s="32" t="s">
        <v>25</v>
      </c>
      <c r="O39" s="32" t="s">
        <v>25</v>
      </c>
      <c r="P39" s="32" t="s">
        <v>25</v>
      </c>
      <c r="Q39" s="32" t="s">
        <v>25</v>
      </c>
      <c r="R39" s="32" t="s">
        <v>25</v>
      </c>
      <c r="S39" s="32" t="s">
        <v>25</v>
      </c>
      <c r="T39" s="32" t="s">
        <v>31</v>
      </c>
      <c r="U39" s="27"/>
    </row>
    <row r="40" spans="1:21" ht="51.75" x14ac:dyDescent="0.25">
      <c r="A40" s="28" t="s">
        <v>23</v>
      </c>
      <c r="B40" s="29"/>
      <c r="C40" s="30" t="s">
        <v>57</v>
      </c>
      <c r="D40" s="31">
        <v>473.8</v>
      </c>
      <c r="E40" s="32">
        <v>473.8</v>
      </c>
      <c r="F40" s="32" t="s">
        <v>25</v>
      </c>
      <c r="G40" s="32" t="s">
        <v>25</v>
      </c>
      <c r="H40" s="32" t="s">
        <v>25</v>
      </c>
      <c r="I40" s="32" t="s">
        <v>25</v>
      </c>
      <c r="J40" s="32" t="s">
        <v>25</v>
      </c>
      <c r="K40" s="32" t="s">
        <v>25</v>
      </c>
      <c r="L40" s="32" t="s">
        <v>25</v>
      </c>
      <c r="M40" s="32" t="s">
        <v>25</v>
      </c>
      <c r="N40" s="32" t="s">
        <v>25</v>
      </c>
      <c r="O40" s="32" t="s">
        <v>25</v>
      </c>
      <c r="P40" s="32" t="s">
        <v>25</v>
      </c>
      <c r="Q40" s="32" t="s">
        <v>25</v>
      </c>
      <c r="R40" s="32" t="s">
        <v>25</v>
      </c>
      <c r="S40" s="32" t="s">
        <v>25</v>
      </c>
      <c r="T40" s="32" t="s">
        <v>31</v>
      </c>
      <c r="U40" s="27"/>
    </row>
    <row r="41" spans="1:21" ht="51.75" x14ac:dyDescent="0.25">
      <c r="A41" s="28" t="s">
        <v>23</v>
      </c>
      <c r="B41" s="29"/>
      <c r="C41" s="30" t="s">
        <v>58</v>
      </c>
      <c r="D41" s="31">
        <v>236.9</v>
      </c>
      <c r="E41" s="32">
        <v>236.9</v>
      </c>
      <c r="F41" s="32" t="s">
        <v>25</v>
      </c>
      <c r="G41" s="32" t="s">
        <v>25</v>
      </c>
      <c r="H41" s="32" t="s">
        <v>25</v>
      </c>
      <c r="I41" s="32" t="s">
        <v>25</v>
      </c>
      <c r="J41" s="32" t="s">
        <v>25</v>
      </c>
      <c r="K41" s="32" t="s">
        <v>25</v>
      </c>
      <c r="L41" s="32" t="s">
        <v>25</v>
      </c>
      <c r="M41" s="32" t="s">
        <v>25</v>
      </c>
      <c r="N41" s="32" t="s">
        <v>25</v>
      </c>
      <c r="O41" s="32" t="s">
        <v>25</v>
      </c>
      <c r="P41" s="32" t="s">
        <v>25</v>
      </c>
      <c r="Q41" s="32" t="s">
        <v>25</v>
      </c>
      <c r="R41" s="32" t="s">
        <v>25</v>
      </c>
      <c r="S41" s="32" t="s">
        <v>25</v>
      </c>
      <c r="T41" s="32" t="s">
        <v>31</v>
      </c>
      <c r="U41" s="27"/>
    </row>
    <row r="42" spans="1:21" ht="51.75" x14ac:dyDescent="0.25">
      <c r="A42" s="28" t="s">
        <v>23</v>
      </c>
      <c r="B42" s="29"/>
      <c r="C42" s="30" t="s">
        <v>59</v>
      </c>
      <c r="D42" s="31">
        <v>236.9</v>
      </c>
      <c r="E42" s="32">
        <v>236.9</v>
      </c>
      <c r="F42" s="32" t="s">
        <v>25</v>
      </c>
      <c r="G42" s="32" t="s">
        <v>25</v>
      </c>
      <c r="H42" s="32" t="s">
        <v>25</v>
      </c>
      <c r="I42" s="32" t="s">
        <v>25</v>
      </c>
      <c r="J42" s="32" t="s">
        <v>25</v>
      </c>
      <c r="K42" s="32" t="s">
        <v>25</v>
      </c>
      <c r="L42" s="32" t="s">
        <v>25</v>
      </c>
      <c r="M42" s="32" t="s">
        <v>25</v>
      </c>
      <c r="N42" s="32" t="s">
        <v>25</v>
      </c>
      <c r="O42" s="32" t="s">
        <v>25</v>
      </c>
      <c r="P42" s="32" t="s">
        <v>25</v>
      </c>
      <c r="Q42" s="32" t="s">
        <v>25</v>
      </c>
      <c r="R42" s="32" t="s">
        <v>25</v>
      </c>
      <c r="S42" s="32" t="s">
        <v>25</v>
      </c>
      <c r="T42" s="32" t="s">
        <v>31</v>
      </c>
      <c r="U42" s="27"/>
    </row>
    <row r="43" spans="1:21" ht="64.5" x14ac:dyDescent="0.25">
      <c r="A43" s="28" t="s">
        <v>23</v>
      </c>
      <c r="B43" s="29"/>
      <c r="C43" s="30" t="s">
        <v>60</v>
      </c>
      <c r="D43" s="31">
        <v>236.9</v>
      </c>
      <c r="E43" s="32">
        <v>236.9</v>
      </c>
      <c r="F43" s="32" t="s">
        <v>25</v>
      </c>
      <c r="G43" s="32" t="s">
        <v>25</v>
      </c>
      <c r="H43" s="32" t="s">
        <v>25</v>
      </c>
      <c r="I43" s="32" t="s">
        <v>25</v>
      </c>
      <c r="J43" s="32" t="s">
        <v>25</v>
      </c>
      <c r="K43" s="32" t="s">
        <v>25</v>
      </c>
      <c r="L43" s="32" t="s">
        <v>25</v>
      </c>
      <c r="M43" s="32" t="s">
        <v>25</v>
      </c>
      <c r="N43" s="32" t="s">
        <v>25</v>
      </c>
      <c r="O43" s="32" t="s">
        <v>25</v>
      </c>
      <c r="P43" s="32" t="s">
        <v>25</v>
      </c>
      <c r="Q43" s="32" t="s">
        <v>25</v>
      </c>
      <c r="R43" s="32" t="s">
        <v>25</v>
      </c>
      <c r="S43" s="32" t="s">
        <v>25</v>
      </c>
      <c r="T43" s="32" t="s">
        <v>31</v>
      </c>
      <c r="U43" s="27"/>
    </row>
    <row r="44" spans="1:21" ht="51.75" x14ac:dyDescent="0.25">
      <c r="A44" s="28" t="s">
        <v>23</v>
      </c>
      <c r="B44" s="29"/>
      <c r="C44" s="30" t="s">
        <v>61</v>
      </c>
      <c r="D44" s="31">
        <v>2282.1</v>
      </c>
      <c r="E44" s="32">
        <v>2282.1</v>
      </c>
      <c r="F44" s="32" t="s">
        <v>25</v>
      </c>
      <c r="G44" s="32" t="s">
        <v>25</v>
      </c>
      <c r="H44" s="32" t="s">
        <v>25</v>
      </c>
      <c r="I44" s="32" t="s">
        <v>25</v>
      </c>
      <c r="J44" s="32" t="s">
        <v>25</v>
      </c>
      <c r="K44" s="32" t="s">
        <v>25</v>
      </c>
      <c r="L44" s="32" t="s">
        <v>25</v>
      </c>
      <c r="M44" s="32" t="s">
        <v>25</v>
      </c>
      <c r="N44" s="32" t="s">
        <v>25</v>
      </c>
      <c r="O44" s="32" t="s">
        <v>25</v>
      </c>
      <c r="P44" s="32" t="s">
        <v>25</v>
      </c>
      <c r="Q44" s="32" t="s">
        <v>25</v>
      </c>
      <c r="R44" s="32" t="s">
        <v>25</v>
      </c>
      <c r="S44" s="32" t="s">
        <v>25</v>
      </c>
      <c r="T44" s="32" t="s">
        <v>31</v>
      </c>
      <c r="U44" s="27"/>
    </row>
    <row r="45" spans="1:21" ht="51.75" x14ac:dyDescent="0.25">
      <c r="A45" s="28" t="s">
        <v>23</v>
      </c>
      <c r="B45" s="29"/>
      <c r="C45" s="30" t="s">
        <v>62</v>
      </c>
      <c r="D45" s="31">
        <v>2831.73</v>
      </c>
      <c r="E45" s="32" t="s">
        <v>25</v>
      </c>
      <c r="F45" s="32">
        <v>367.27</v>
      </c>
      <c r="G45" s="32" t="s">
        <v>25</v>
      </c>
      <c r="H45" s="32">
        <v>2464.46</v>
      </c>
      <c r="I45" s="32" t="s">
        <v>25</v>
      </c>
      <c r="J45" s="32" t="s">
        <v>25</v>
      </c>
      <c r="K45" s="32" t="s">
        <v>25</v>
      </c>
      <c r="L45" s="32" t="s">
        <v>25</v>
      </c>
      <c r="M45" s="32" t="s">
        <v>25</v>
      </c>
      <c r="N45" s="32" t="s">
        <v>25</v>
      </c>
      <c r="O45" s="32" t="s">
        <v>25</v>
      </c>
      <c r="P45" s="32" t="s">
        <v>25</v>
      </c>
      <c r="Q45" s="32" t="s">
        <v>25</v>
      </c>
      <c r="R45" s="32" t="s">
        <v>25</v>
      </c>
      <c r="S45" s="32" t="s">
        <v>25</v>
      </c>
      <c r="T45" s="32"/>
      <c r="U45" s="27"/>
    </row>
    <row r="46" spans="1:21" ht="51.75" x14ac:dyDescent="0.25">
      <c r="A46" s="28" t="s">
        <v>23</v>
      </c>
      <c r="B46" s="29"/>
      <c r="C46" s="30" t="s">
        <v>63</v>
      </c>
      <c r="D46" s="31">
        <v>1344.37</v>
      </c>
      <c r="E46" s="32">
        <v>1006.4</v>
      </c>
      <c r="F46" s="32">
        <v>164.87</v>
      </c>
      <c r="G46" s="32" t="s">
        <v>25</v>
      </c>
      <c r="H46" s="32" t="s">
        <v>25</v>
      </c>
      <c r="I46" s="32" t="s">
        <v>25</v>
      </c>
      <c r="J46" s="32" t="s">
        <v>25</v>
      </c>
      <c r="K46" s="32" t="s">
        <v>25</v>
      </c>
      <c r="L46" s="32">
        <v>108</v>
      </c>
      <c r="M46" s="32">
        <v>37.5</v>
      </c>
      <c r="N46" s="32" t="s">
        <v>25</v>
      </c>
      <c r="O46" s="32">
        <v>27.6</v>
      </c>
      <c r="P46" s="32" t="s">
        <v>25</v>
      </c>
      <c r="Q46" s="32">
        <v>4.5999999999999996</v>
      </c>
      <c r="R46" s="32" t="s">
        <v>25</v>
      </c>
      <c r="S46" s="32">
        <v>1053.3</v>
      </c>
      <c r="T46" s="32" t="s">
        <v>64</v>
      </c>
      <c r="U46" s="27"/>
    </row>
    <row r="47" spans="1:21" ht="64.5" x14ac:dyDescent="0.25">
      <c r="A47" s="28" t="s">
        <v>23</v>
      </c>
      <c r="B47" s="29"/>
      <c r="C47" s="30" t="s">
        <v>65</v>
      </c>
      <c r="D47" s="31">
        <v>754.32</v>
      </c>
      <c r="E47" s="32">
        <v>503.2</v>
      </c>
      <c r="F47" s="32">
        <v>89.22</v>
      </c>
      <c r="G47" s="32" t="s">
        <v>25</v>
      </c>
      <c r="H47" s="32" t="s">
        <v>25</v>
      </c>
      <c r="I47" s="32" t="s">
        <v>25</v>
      </c>
      <c r="J47" s="32" t="s">
        <v>25</v>
      </c>
      <c r="K47" s="32" t="s">
        <v>25</v>
      </c>
      <c r="L47" s="32">
        <v>85.4</v>
      </c>
      <c r="M47" s="32">
        <v>48.9</v>
      </c>
      <c r="N47" s="32" t="s">
        <v>25</v>
      </c>
      <c r="O47" s="32">
        <v>27.6</v>
      </c>
      <c r="P47" s="32" t="s">
        <v>25</v>
      </c>
      <c r="Q47" s="32">
        <v>4.5999999999999996</v>
      </c>
      <c r="R47" s="32" t="s">
        <v>25</v>
      </c>
      <c r="S47" s="32">
        <v>155</v>
      </c>
      <c r="T47" s="32" t="s">
        <v>31</v>
      </c>
      <c r="U47" s="27"/>
    </row>
    <row r="48" spans="1:21" ht="51.75" x14ac:dyDescent="0.25">
      <c r="A48" s="28" t="s">
        <v>23</v>
      </c>
      <c r="B48" s="29"/>
      <c r="C48" s="30" t="s">
        <v>66</v>
      </c>
      <c r="D48" s="31">
        <v>3815.2</v>
      </c>
      <c r="E48" s="32">
        <v>721.4</v>
      </c>
      <c r="F48" s="32" t="s">
        <v>25</v>
      </c>
      <c r="G48" s="32" t="s">
        <v>25</v>
      </c>
      <c r="H48" s="32" t="s">
        <v>25</v>
      </c>
      <c r="I48" s="32" t="s">
        <v>25</v>
      </c>
      <c r="J48" s="32" t="s">
        <v>25</v>
      </c>
      <c r="K48" s="32">
        <v>475.3</v>
      </c>
      <c r="L48" s="32">
        <v>2618.5</v>
      </c>
      <c r="M48" s="32" t="s">
        <v>25</v>
      </c>
      <c r="N48" s="32" t="s">
        <v>25</v>
      </c>
      <c r="O48" s="32" t="s">
        <v>25</v>
      </c>
      <c r="P48" s="32" t="s">
        <v>25</v>
      </c>
      <c r="Q48" s="32" t="s">
        <v>25</v>
      </c>
      <c r="R48" s="32" t="s">
        <v>25</v>
      </c>
      <c r="S48" s="32" t="s">
        <v>25</v>
      </c>
      <c r="T48" s="32" t="s">
        <v>31</v>
      </c>
      <c r="U48" s="27"/>
    </row>
    <row r="49" spans="1:21" ht="39" x14ac:dyDescent="0.25">
      <c r="A49" s="28" t="s">
        <v>23</v>
      </c>
      <c r="B49" s="29"/>
      <c r="C49" s="30" t="s">
        <v>67</v>
      </c>
      <c r="D49" s="31">
        <v>487.1</v>
      </c>
      <c r="E49" s="32" t="s">
        <v>25</v>
      </c>
      <c r="F49" s="32">
        <v>100.6</v>
      </c>
      <c r="G49" s="32" t="s">
        <v>25</v>
      </c>
      <c r="H49" s="32">
        <v>314.5</v>
      </c>
      <c r="I49" s="32" t="s">
        <v>25</v>
      </c>
      <c r="J49" s="32" t="s">
        <v>25</v>
      </c>
      <c r="K49" s="32" t="s">
        <v>25</v>
      </c>
      <c r="L49" s="32" t="s">
        <v>25</v>
      </c>
      <c r="M49" s="32" t="s">
        <v>25</v>
      </c>
      <c r="N49" s="32" t="s">
        <v>25</v>
      </c>
      <c r="O49" s="32">
        <v>72</v>
      </c>
      <c r="P49" s="32" t="s">
        <v>25</v>
      </c>
      <c r="Q49" s="32" t="s">
        <v>25</v>
      </c>
      <c r="R49" s="32" t="s">
        <v>25</v>
      </c>
      <c r="S49" s="32" t="s">
        <v>25</v>
      </c>
      <c r="T49" s="32"/>
      <c r="U49" s="27"/>
    </row>
    <row r="50" spans="1:21" s="33" customFormat="1" ht="64.5" x14ac:dyDescent="0.25">
      <c r="A50" s="39" t="s">
        <v>23</v>
      </c>
      <c r="B50" s="40"/>
      <c r="C50" s="41" t="s">
        <v>68</v>
      </c>
      <c r="D50" s="42">
        <v>8176.9</v>
      </c>
      <c r="E50" s="43">
        <v>7749.5</v>
      </c>
      <c r="F50" s="43" t="s">
        <v>25</v>
      </c>
      <c r="G50" s="43" t="s">
        <v>25</v>
      </c>
      <c r="H50" s="43" t="s">
        <v>25</v>
      </c>
      <c r="I50" s="43" t="s">
        <v>25</v>
      </c>
      <c r="J50" s="43" t="s">
        <v>25</v>
      </c>
      <c r="K50" s="43" t="s">
        <v>25</v>
      </c>
      <c r="L50" s="43" t="s">
        <v>25</v>
      </c>
      <c r="M50" s="43">
        <v>255.3</v>
      </c>
      <c r="N50" s="43" t="s">
        <v>25</v>
      </c>
      <c r="O50" s="43" t="s">
        <v>25</v>
      </c>
      <c r="P50" s="43">
        <v>172.1</v>
      </c>
      <c r="Q50" s="43">
        <v>70.5</v>
      </c>
      <c r="R50" s="43" t="s">
        <v>25</v>
      </c>
      <c r="S50" s="43">
        <v>1663.5</v>
      </c>
      <c r="T50" s="43" t="s">
        <v>31</v>
      </c>
      <c r="U50" s="38"/>
    </row>
    <row r="51" spans="1:21" s="33" customFormat="1" ht="64.5" x14ac:dyDescent="0.25">
      <c r="A51" s="39" t="s">
        <v>23</v>
      </c>
      <c r="B51" s="40"/>
      <c r="C51" s="41" t="s">
        <v>69</v>
      </c>
      <c r="D51" s="42">
        <v>3458.69</v>
      </c>
      <c r="E51" s="43">
        <v>3343.2</v>
      </c>
      <c r="F51" s="43">
        <v>73.59</v>
      </c>
      <c r="G51" s="43" t="s">
        <v>25</v>
      </c>
      <c r="H51" s="43" t="s">
        <v>25</v>
      </c>
      <c r="I51" s="43" t="s">
        <v>25</v>
      </c>
      <c r="J51" s="43" t="s">
        <v>25</v>
      </c>
      <c r="K51" s="43" t="s">
        <v>25</v>
      </c>
      <c r="L51" s="43" t="s">
        <v>25</v>
      </c>
      <c r="M51" s="43">
        <v>18.899999999999999</v>
      </c>
      <c r="N51" s="43" t="s">
        <v>25</v>
      </c>
      <c r="O51" s="43" t="s">
        <v>25</v>
      </c>
      <c r="P51" s="43">
        <v>23</v>
      </c>
      <c r="Q51" s="43">
        <v>15.6</v>
      </c>
      <c r="R51" s="43" t="s">
        <v>25</v>
      </c>
      <c r="S51" s="43">
        <v>356.1</v>
      </c>
      <c r="T51" s="43" t="s">
        <v>31</v>
      </c>
      <c r="U51" s="38"/>
    </row>
    <row r="52" spans="1:21" s="33" customFormat="1" ht="51.75" x14ac:dyDescent="0.25">
      <c r="A52" s="39" t="s">
        <v>23</v>
      </c>
      <c r="B52" s="40"/>
      <c r="C52" s="41" t="s">
        <v>70</v>
      </c>
      <c r="D52" s="42">
        <v>3713.1</v>
      </c>
      <c r="E52" s="43">
        <v>3562.3</v>
      </c>
      <c r="F52" s="43" t="s">
        <v>25</v>
      </c>
      <c r="G52" s="43" t="s">
        <v>25</v>
      </c>
      <c r="H52" s="43" t="s">
        <v>25</v>
      </c>
      <c r="I52" s="43" t="s">
        <v>25</v>
      </c>
      <c r="J52" s="43" t="s">
        <v>25</v>
      </c>
      <c r="K52" s="43">
        <v>99.6</v>
      </c>
      <c r="L52" s="43">
        <v>15.2</v>
      </c>
      <c r="M52" s="43">
        <v>36</v>
      </c>
      <c r="N52" s="43" t="s">
        <v>25</v>
      </c>
      <c r="O52" s="43" t="s">
        <v>25</v>
      </c>
      <c r="P52" s="43" t="s">
        <v>25</v>
      </c>
      <c r="Q52" s="43" t="s">
        <v>25</v>
      </c>
      <c r="R52" s="43" t="s">
        <v>25</v>
      </c>
      <c r="S52" s="43">
        <v>1670.5</v>
      </c>
      <c r="T52" s="43" t="s">
        <v>31</v>
      </c>
      <c r="U52" s="38"/>
    </row>
    <row r="53" spans="1:21" ht="39" x14ac:dyDescent="0.25">
      <c r="A53" s="28" t="s">
        <v>23</v>
      </c>
      <c r="B53" s="29"/>
      <c r="C53" s="30" t="s">
        <v>71</v>
      </c>
      <c r="D53" s="31">
        <v>789.3</v>
      </c>
      <c r="E53" s="32">
        <v>789.3</v>
      </c>
      <c r="F53" s="32" t="s">
        <v>25</v>
      </c>
      <c r="G53" s="32" t="s">
        <v>25</v>
      </c>
      <c r="H53" s="32" t="s">
        <v>25</v>
      </c>
      <c r="I53" s="32" t="s">
        <v>25</v>
      </c>
      <c r="J53" s="32" t="s">
        <v>25</v>
      </c>
      <c r="K53" s="32" t="s">
        <v>25</v>
      </c>
      <c r="L53" s="32" t="s">
        <v>25</v>
      </c>
      <c r="M53" s="32" t="s">
        <v>25</v>
      </c>
      <c r="N53" s="32" t="s">
        <v>25</v>
      </c>
      <c r="O53" s="32" t="s">
        <v>25</v>
      </c>
      <c r="P53" s="32" t="s">
        <v>25</v>
      </c>
      <c r="Q53" s="32" t="s">
        <v>25</v>
      </c>
      <c r="R53" s="32" t="s">
        <v>25</v>
      </c>
      <c r="S53" s="32" t="s">
        <v>25</v>
      </c>
      <c r="T53" s="32" t="s">
        <v>31</v>
      </c>
      <c r="U53" s="27"/>
    </row>
    <row r="54" spans="1:21" ht="49.15" customHeight="1" x14ac:dyDescent="0.25">
      <c r="A54" s="16" t="s">
        <v>23</v>
      </c>
      <c r="B54" s="17">
        <v>3</v>
      </c>
      <c r="C54" s="18" t="s">
        <v>72</v>
      </c>
      <c r="D54" s="19">
        <v>72490.12</v>
      </c>
      <c r="E54" s="20">
        <v>51739.4</v>
      </c>
      <c r="F54" s="20">
        <v>4840.26</v>
      </c>
      <c r="G54" s="20" t="s">
        <v>25</v>
      </c>
      <c r="H54" s="20">
        <v>3165.36</v>
      </c>
      <c r="I54" s="20" t="s">
        <v>25</v>
      </c>
      <c r="J54" s="20">
        <v>3.8</v>
      </c>
      <c r="K54" s="20">
        <v>752.9</v>
      </c>
      <c r="L54" s="20">
        <v>8938.5</v>
      </c>
      <c r="M54" s="20">
        <v>679.1</v>
      </c>
      <c r="N54" s="20" t="s">
        <v>25</v>
      </c>
      <c r="O54" s="20">
        <v>1694.2</v>
      </c>
      <c r="P54" s="20">
        <v>676.6</v>
      </c>
      <c r="Q54" s="20">
        <v>225.96</v>
      </c>
      <c r="R54" s="20" t="s">
        <v>25</v>
      </c>
      <c r="S54" s="20">
        <v>7593.56</v>
      </c>
      <c r="T54" s="20"/>
      <c r="U54" s="21"/>
    </row>
    <row r="55" spans="1:21" ht="42" customHeight="1" x14ac:dyDescent="0.25">
      <c r="A55" s="16" t="s">
        <v>23</v>
      </c>
      <c r="B55" s="17">
        <v>3</v>
      </c>
      <c r="C55" s="18" t="s">
        <v>73</v>
      </c>
      <c r="D55" s="19">
        <v>72490.12</v>
      </c>
      <c r="E55" s="20">
        <v>51739.4</v>
      </c>
      <c r="F55" s="20">
        <v>4840.26</v>
      </c>
      <c r="G55" s="20" t="s">
        <v>25</v>
      </c>
      <c r="H55" s="20">
        <v>3165.36</v>
      </c>
      <c r="I55" s="20" t="s">
        <v>25</v>
      </c>
      <c r="J55" s="20">
        <v>3.8</v>
      </c>
      <c r="K55" s="20">
        <v>752.9</v>
      </c>
      <c r="L55" s="20">
        <v>8938.5</v>
      </c>
      <c r="M55" s="20">
        <v>679.1</v>
      </c>
      <c r="N55" s="20" t="s">
        <v>25</v>
      </c>
      <c r="O55" s="20">
        <v>1694.2</v>
      </c>
      <c r="P55" s="20">
        <v>676.6</v>
      </c>
      <c r="Q55" s="20">
        <v>225.96</v>
      </c>
      <c r="R55" s="20" t="s">
        <v>25</v>
      </c>
      <c r="S55" s="20">
        <v>7593.56</v>
      </c>
      <c r="T55" s="20"/>
      <c r="U55" s="21"/>
    </row>
    <row r="56" spans="1:21" ht="66" customHeight="1" x14ac:dyDescent="0.25">
      <c r="A56" s="2"/>
      <c r="B56" s="2"/>
      <c r="C56" s="44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</row>
    <row r="57" spans="1:21" ht="23.45" customHeight="1" x14ac:dyDescent="0.3">
      <c r="A57" s="45"/>
      <c r="B57" s="46"/>
      <c r="C57" s="287" t="s">
        <v>74</v>
      </c>
      <c r="D57" s="288"/>
      <c r="E57" s="288"/>
      <c r="F57" s="47" t="s">
        <v>75</v>
      </c>
      <c r="G57" s="289" t="s">
        <v>76</v>
      </c>
      <c r="H57" s="289"/>
      <c r="I57" s="289"/>
      <c r="J57" s="48"/>
      <c r="K57" s="48"/>
      <c r="L57" s="48"/>
      <c r="M57" s="48" t="s">
        <v>77</v>
      </c>
      <c r="N57" s="48"/>
      <c r="O57" s="49"/>
      <c r="P57" s="49"/>
      <c r="Q57" s="49"/>
      <c r="R57" s="49" t="s">
        <v>78</v>
      </c>
      <c r="S57" s="49"/>
      <c r="T57" s="48"/>
      <c r="U57" s="2"/>
    </row>
    <row r="58" spans="1:21" ht="12.75" customHeight="1" x14ac:dyDescent="0.3">
      <c r="A58" s="45"/>
      <c r="B58" s="46"/>
      <c r="C58" s="47"/>
      <c r="D58" s="47"/>
      <c r="E58" s="47"/>
      <c r="F58" s="50" t="s">
        <v>79</v>
      </c>
      <c r="G58" s="290" t="s">
        <v>80</v>
      </c>
      <c r="H58" s="291"/>
      <c r="I58" s="48"/>
      <c r="J58" s="48"/>
      <c r="K58" s="48"/>
      <c r="L58" s="48"/>
      <c r="M58" s="48"/>
      <c r="N58" s="48"/>
      <c r="O58" s="48"/>
      <c r="P58" s="48" t="s">
        <v>79</v>
      </c>
      <c r="Q58" s="48"/>
      <c r="R58" s="48"/>
      <c r="S58" s="48"/>
      <c r="T58" s="48"/>
      <c r="U58" s="2"/>
    </row>
    <row r="59" spans="1:21" ht="12.75" customHeight="1" x14ac:dyDescent="0.3">
      <c r="A59" s="45"/>
      <c r="B59" s="46"/>
      <c r="C59" s="47"/>
      <c r="D59" s="47"/>
      <c r="E59" s="47"/>
      <c r="F59" s="47"/>
      <c r="G59" s="47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2"/>
    </row>
    <row r="60" spans="1:21" ht="15.2" customHeight="1" x14ac:dyDescent="0.25">
      <c r="A60" s="45"/>
      <c r="B60" s="46"/>
      <c r="C60" s="292"/>
      <c r="D60" s="293"/>
      <c r="E60" s="293"/>
      <c r="F60" s="52"/>
      <c r="G60" s="294"/>
      <c r="H60" s="295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</row>
    <row r="61" spans="1:21" ht="12.75" customHeight="1" x14ac:dyDescent="0.25">
      <c r="A61" s="45"/>
      <c r="B61" s="46"/>
      <c r="C61" s="52"/>
      <c r="D61" s="52"/>
      <c r="E61" s="52"/>
      <c r="F61" s="53"/>
      <c r="G61" s="296"/>
      <c r="H61" s="297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</row>
    <row r="62" spans="1:21" ht="12.75" customHeight="1" x14ac:dyDescent="0.25">
      <c r="A62" s="45"/>
      <c r="B62" s="46"/>
      <c r="C62" s="51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</row>
    <row r="63" spans="1:21" ht="12.75" customHeight="1" x14ac:dyDescent="0.25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</row>
    <row r="64" spans="1:21" ht="18.75" customHeight="1" x14ac:dyDescent="0.25">
      <c r="A64" s="2"/>
      <c r="B64" s="2"/>
      <c r="C64" s="298"/>
      <c r="D64" s="299"/>
      <c r="E64" s="299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</row>
    <row r="65" spans="1:21" ht="18" customHeight="1" x14ac:dyDescent="0.25">
      <c r="A65" s="2"/>
      <c r="B65" s="2"/>
      <c r="C65" s="300"/>
      <c r="D65" s="301"/>
      <c r="E65" s="301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</row>
    <row r="66" spans="1:21" ht="12.75" customHeight="1" x14ac:dyDescent="0.25">
      <c r="A66" s="2"/>
      <c r="B66" s="2"/>
      <c r="C66" s="44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</row>
  </sheetData>
  <mergeCells count="14">
    <mergeCell ref="G61:H61"/>
    <mergeCell ref="C64:E64"/>
    <mergeCell ref="C65:E65"/>
    <mergeCell ref="C57:E57"/>
    <mergeCell ref="G57:I57"/>
    <mergeCell ref="G58:H58"/>
    <mergeCell ref="C60:E60"/>
    <mergeCell ref="G60:H60"/>
    <mergeCell ref="C2:S2"/>
    <mergeCell ref="C4:C6"/>
    <mergeCell ref="D4:D6"/>
    <mergeCell ref="E4:S4"/>
    <mergeCell ref="E5:P5"/>
    <mergeCell ref="Q5:S5"/>
  </mergeCells>
  <pageMargins left="0" right="0" top="0.78740157480314954" bottom="0.59055118110236249" header="0.31496062992125984" footer="0.31496062992125984"/>
  <pageSetup paperSize="9" scale="47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P223"/>
  <sheetViews>
    <sheetView tabSelected="1" zoomScale="77" workbookViewId="0">
      <pane xSplit="1" topLeftCell="B1" activePane="topRight" state="frozen"/>
      <selection activeCell="B38" sqref="B38"/>
      <selection pane="topRight" activeCell="G1" sqref="G1"/>
    </sheetView>
  </sheetViews>
  <sheetFormatPr defaultColWidth="8.85546875" defaultRowHeight="15.75" x14ac:dyDescent="0.25"/>
  <cols>
    <col min="1" max="1" width="23.140625" style="55" customWidth="1"/>
    <col min="2" max="2" width="64.5703125" style="56" customWidth="1"/>
    <col min="3" max="3" width="15.140625" style="56" hidden="1" customWidth="1"/>
    <col min="4" max="4" width="15.7109375" style="56" hidden="1" customWidth="1"/>
    <col min="5" max="5" width="23.140625" style="54" hidden="1" customWidth="1"/>
    <col min="6" max="6" width="23.28515625" style="57" hidden="1" customWidth="1"/>
    <col min="7" max="9" width="23.140625" style="54" customWidth="1"/>
    <col min="10" max="12" width="19.85546875" style="54" customWidth="1"/>
    <col min="13" max="13" width="21" style="54" hidden="1" customWidth="1"/>
    <col min="14" max="16" width="19.85546875" style="54" customWidth="1"/>
    <col min="17" max="16384" width="8.85546875" style="54"/>
  </cols>
  <sheetData>
    <row r="1" spans="1:16" ht="67.900000000000006" customHeight="1" x14ac:dyDescent="0.25">
      <c r="A1" s="58"/>
      <c r="B1" s="59" t="s">
        <v>81</v>
      </c>
      <c r="C1" s="59"/>
      <c r="D1" s="59"/>
      <c r="E1" s="59"/>
      <c r="F1" s="60"/>
      <c r="G1" s="59"/>
      <c r="H1" s="59"/>
      <c r="I1" s="59"/>
    </row>
    <row r="2" spans="1:16" ht="18.600000000000001" customHeight="1" x14ac:dyDescent="0.25">
      <c r="A2" s="61"/>
      <c r="B2" s="62" t="s">
        <v>82</v>
      </c>
      <c r="C2" s="62"/>
      <c r="D2" s="62"/>
      <c r="E2" s="62"/>
      <c r="F2" s="62"/>
      <c r="G2" s="62"/>
      <c r="H2" s="62"/>
      <c r="I2" s="62"/>
      <c r="J2" s="62"/>
      <c r="K2" s="62"/>
      <c r="L2" s="62"/>
      <c r="M2" s="62"/>
      <c r="O2" s="62"/>
    </row>
    <row r="3" spans="1:16" ht="18.600000000000001" customHeight="1" x14ac:dyDescent="0.25">
      <c r="A3" s="63"/>
      <c r="B3" s="64"/>
      <c r="C3" s="64"/>
      <c r="D3" s="64"/>
      <c r="E3" s="65"/>
      <c r="F3" s="65"/>
      <c r="G3" s="65"/>
      <c r="H3" s="65"/>
      <c r="I3" s="65"/>
      <c r="J3" s="66"/>
      <c r="K3" s="66"/>
      <c r="L3" s="66"/>
      <c r="M3" s="67"/>
      <c r="N3" s="66"/>
      <c r="O3" s="66"/>
      <c r="P3" s="66"/>
    </row>
    <row r="4" spans="1:16" s="68" customFormat="1" ht="70.5" customHeight="1" x14ac:dyDescent="0.3">
      <c r="A4" s="69"/>
      <c r="B4" s="70" t="s">
        <v>83</v>
      </c>
      <c r="C4" s="70" t="s">
        <v>84</v>
      </c>
      <c r="D4" s="71" t="s">
        <v>85</v>
      </c>
      <c r="E4" s="72" t="s">
        <v>86</v>
      </c>
      <c r="F4" s="73" t="s">
        <v>87</v>
      </c>
      <c r="G4" s="72" t="s">
        <v>88</v>
      </c>
      <c r="H4" s="74" t="s">
        <v>89</v>
      </c>
      <c r="I4" s="72" t="s">
        <v>90</v>
      </c>
      <c r="J4" s="75" t="s">
        <v>91</v>
      </c>
      <c r="K4" s="74" t="s">
        <v>89</v>
      </c>
      <c r="L4" s="75" t="s">
        <v>92</v>
      </c>
      <c r="M4" s="76" t="s">
        <v>93</v>
      </c>
      <c r="N4" s="72" t="s">
        <v>94</v>
      </c>
      <c r="O4" s="74" t="s">
        <v>89</v>
      </c>
      <c r="P4" s="72" t="s">
        <v>95</v>
      </c>
    </row>
    <row r="5" spans="1:16" s="77" customFormat="1" x14ac:dyDescent="0.25">
      <c r="A5" s="78" t="s">
        <v>96</v>
      </c>
      <c r="B5" s="79" t="s">
        <v>97</v>
      </c>
      <c r="C5" s="79"/>
      <c r="D5" s="79"/>
      <c r="E5" s="80">
        <f>E6+E20</f>
        <v>427809468</v>
      </c>
      <c r="F5" s="81">
        <f t="shared" ref="F5:F68" si="0">I5-E5</f>
        <v>9664240</v>
      </c>
      <c r="G5" s="80">
        <f>G6+G20</f>
        <v>437473708</v>
      </c>
      <c r="H5" s="81">
        <f t="shared" ref="H5:H68" si="1">I5-G5</f>
        <v>0</v>
      </c>
      <c r="I5" s="80">
        <f>I6+I20</f>
        <v>437473708</v>
      </c>
      <c r="J5" s="82">
        <f>J6+J20</f>
        <v>411151000</v>
      </c>
      <c r="K5" s="83">
        <f t="shared" ref="K5:K68" si="2">L5-J5</f>
        <v>0</v>
      </c>
      <c r="L5" s="82">
        <f>L6+L20</f>
        <v>411151000</v>
      </c>
      <c r="M5" s="84" t="e">
        <f>#REF!-#REF!</f>
        <v>#REF!</v>
      </c>
      <c r="N5" s="85">
        <f>N6+N20</f>
        <v>450547400</v>
      </c>
      <c r="O5" s="83">
        <f t="shared" ref="O5:O68" si="3">P5-N5</f>
        <v>0</v>
      </c>
      <c r="P5" s="85">
        <f>P6+P20</f>
        <v>450547400</v>
      </c>
    </row>
    <row r="6" spans="1:16" s="77" customFormat="1" x14ac:dyDescent="0.25">
      <c r="A6" s="78"/>
      <c r="B6" s="79" t="s">
        <v>98</v>
      </c>
      <c r="C6" s="79"/>
      <c r="D6" s="79"/>
      <c r="E6" s="80">
        <f>E7+E9+E11+E18+E16</f>
        <v>363509300</v>
      </c>
      <c r="F6" s="81">
        <f t="shared" si="0"/>
        <v>450959.74000000954</v>
      </c>
      <c r="G6" s="80">
        <f>G7+G9+G11+G18+G16</f>
        <v>363960259.74000001</v>
      </c>
      <c r="H6" s="81">
        <f t="shared" si="1"/>
        <v>0</v>
      </c>
      <c r="I6" s="80">
        <f>I7+I9+I11+I18+I16</f>
        <v>363960259.74000001</v>
      </c>
      <c r="J6" s="82">
        <f>J7+J9+J11+J18+J16</f>
        <v>344337900</v>
      </c>
      <c r="K6" s="83">
        <f t="shared" si="2"/>
        <v>0</v>
      </c>
      <c r="L6" s="82">
        <f>L7+L9+L11+L18+L16</f>
        <v>344337900</v>
      </c>
      <c r="M6" s="84" t="e">
        <f>#REF!-#REF!</f>
        <v>#REF!</v>
      </c>
      <c r="N6" s="85">
        <f>N7+N9+N11+N18+N16</f>
        <v>378933700</v>
      </c>
      <c r="O6" s="83">
        <f t="shared" si="3"/>
        <v>0</v>
      </c>
      <c r="P6" s="85">
        <f>P7+P9+P11+P18+P16</f>
        <v>378933700</v>
      </c>
    </row>
    <row r="7" spans="1:16" s="86" customFormat="1" x14ac:dyDescent="0.25">
      <c r="A7" s="78" t="s">
        <v>99</v>
      </c>
      <c r="B7" s="79" t="s">
        <v>100</v>
      </c>
      <c r="C7" s="79"/>
      <c r="D7" s="79"/>
      <c r="E7" s="80">
        <f>E8</f>
        <v>278399200</v>
      </c>
      <c r="F7" s="81">
        <f t="shared" si="0"/>
        <v>-6000000</v>
      </c>
      <c r="G7" s="80">
        <f>G8</f>
        <v>272399200</v>
      </c>
      <c r="H7" s="81">
        <f t="shared" si="1"/>
        <v>0</v>
      </c>
      <c r="I7" s="80">
        <f>I8</f>
        <v>272399200</v>
      </c>
      <c r="J7" s="82">
        <f>J8</f>
        <v>254952900</v>
      </c>
      <c r="K7" s="83">
        <f t="shared" si="2"/>
        <v>0</v>
      </c>
      <c r="L7" s="82">
        <f>L8</f>
        <v>254952900</v>
      </c>
      <c r="M7" s="84" t="e">
        <f>#REF!-#REF!</f>
        <v>#REF!</v>
      </c>
      <c r="N7" s="85">
        <f>N8</f>
        <v>274345100</v>
      </c>
      <c r="O7" s="83">
        <f t="shared" si="3"/>
        <v>0</v>
      </c>
      <c r="P7" s="85">
        <f>P8</f>
        <v>274345100</v>
      </c>
    </row>
    <row r="8" spans="1:16" ht="21.6" customHeight="1" x14ac:dyDescent="0.25">
      <c r="A8" s="87" t="s">
        <v>101</v>
      </c>
      <c r="B8" s="88" t="s">
        <v>102</v>
      </c>
      <c r="C8" s="89"/>
      <c r="D8" s="89"/>
      <c r="E8" s="90">
        <v>278399200</v>
      </c>
      <c r="F8" s="81">
        <f t="shared" si="0"/>
        <v>-6000000</v>
      </c>
      <c r="G8" s="90">
        <f>278399200-6000000</f>
        <v>272399200</v>
      </c>
      <c r="H8" s="81">
        <f t="shared" si="1"/>
        <v>0</v>
      </c>
      <c r="I8" s="90">
        <f>278399200-6000000</f>
        <v>272399200</v>
      </c>
      <c r="J8" s="91">
        <v>254952900</v>
      </c>
      <c r="K8" s="83">
        <f t="shared" si="2"/>
        <v>0</v>
      </c>
      <c r="L8" s="91">
        <v>254952900</v>
      </c>
      <c r="M8" s="92" t="e">
        <f>#REF!-#REF!</f>
        <v>#REF!</v>
      </c>
      <c r="N8" s="93">
        <v>274345100</v>
      </c>
      <c r="O8" s="83">
        <f t="shared" si="3"/>
        <v>0</v>
      </c>
      <c r="P8" s="93">
        <v>274345100</v>
      </c>
    </row>
    <row r="9" spans="1:16" s="86" customFormat="1" ht="30.75" customHeight="1" x14ac:dyDescent="0.25">
      <c r="A9" s="78" t="s">
        <v>103</v>
      </c>
      <c r="B9" s="94" t="s">
        <v>104</v>
      </c>
      <c r="C9" s="94"/>
      <c r="D9" s="94"/>
      <c r="E9" s="80">
        <f>E10</f>
        <v>30362000</v>
      </c>
      <c r="F9" s="81">
        <f t="shared" si="0"/>
        <v>0</v>
      </c>
      <c r="G9" s="80">
        <f>G10</f>
        <v>30362000</v>
      </c>
      <c r="H9" s="81">
        <f t="shared" si="1"/>
        <v>0</v>
      </c>
      <c r="I9" s="80">
        <f>I10</f>
        <v>30362000</v>
      </c>
      <c r="J9" s="82">
        <f>J10</f>
        <v>31564000</v>
      </c>
      <c r="K9" s="83">
        <f t="shared" si="2"/>
        <v>0</v>
      </c>
      <c r="L9" s="82">
        <f>L10</f>
        <v>31564000</v>
      </c>
      <c r="M9" s="84" t="e">
        <f>#REF!-#REF!</f>
        <v>#REF!</v>
      </c>
      <c r="N9" s="85">
        <f>N10</f>
        <v>43571000</v>
      </c>
      <c r="O9" s="83">
        <f t="shared" si="3"/>
        <v>0</v>
      </c>
      <c r="P9" s="85">
        <f>P10</f>
        <v>43571000</v>
      </c>
    </row>
    <row r="10" spans="1:16" ht="30" customHeight="1" x14ac:dyDescent="0.25">
      <c r="A10" s="87" t="s">
        <v>105</v>
      </c>
      <c r="B10" s="95" t="s">
        <v>106</v>
      </c>
      <c r="C10" s="96"/>
      <c r="D10" s="96"/>
      <c r="E10" s="90">
        <v>30362000</v>
      </c>
      <c r="F10" s="81">
        <f t="shared" si="0"/>
        <v>0</v>
      </c>
      <c r="G10" s="90">
        <v>30362000</v>
      </c>
      <c r="H10" s="81">
        <f t="shared" si="1"/>
        <v>0</v>
      </c>
      <c r="I10" s="90">
        <v>30362000</v>
      </c>
      <c r="J10" s="91">
        <v>31564000</v>
      </c>
      <c r="K10" s="83">
        <f t="shared" si="2"/>
        <v>0</v>
      </c>
      <c r="L10" s="91">
        <v>31564000</v>
      </c>
      <c r="M10" s="92" t="e">
        <f>#REF!-#REF!</f>
        <v>#REF!</v>
      </c>
      <c r="N10" s="93">
        <v>43571000</v>
      </c>
      <c r="O10" s="83">
        <f t="shared" si="3"/>
        <v>0</v>
      </c>
      <c r="P10" s="93">
        <v>43571000</v>
      </c>
    </row>
    <row r="11" spans="1:16" s="86" customFormat="1" ht="19.899999999999999" customHeight="1" x14ac:dyDescent="0.25">
      <c r="A11" s="78" t="s">
        <v>107</v>
      </c>
      <c r="B11" s="79" t="s">
        <v>108</v>
      </c>
      <c r="C11" s="79"/>
      <c r="D11" s="79"/>
      <c r="E11" s="80">
        <f>E13+E14+E15+E12</f>
        <v>40218000</v>
      </c>
      <c r="F11" s="81">
        <f t="shared" si="0"/>
        <v>3450959.7400000021</v>
      </c>
      <c r="G11" s="80">
        <f>G13+G14+G15+G12</f>
        <v>43668959.740000002</v>
      </c>
      <c r="H11" s="81">
        <f t="shared" si="1"/>
        <v>0</v>
      </c>
      <c r="I11" s="80">
        <f>I13+I14+I15+I12</f>
        <v>43668959.740000002</v>
      </c>
      <c r="J11" s="82">
        <f>J13+J14+J15+J12</f>
        <v>43219000</v>
      </c>
      <c r="K11" s="83">
        <f t="shared" si="2"/>
        <v>0</v>
      </c>
      <c r="L11" s="82">
        <f>L13+L14+L15+L12</f>
        <v>43219000</v>
      </c>
      <c r="M11" s="84" t="e">
        <f>#REF!-#REF!</f>
        <v>#REF!</v>
      </c>
      <c r="N11" s="85">
        <f>N13+N14+N15+N12</f>
        <v>46362000</v>
      </c>
      <c r="O11" s="83">
        <f t="shared" si="3"/>
        <v>0</v>
      </c>
      <c r="P11" s="85">
        <f>P13+P14+P15+P12</f>
        <v>46362000</v>
      </c>
    </row>
    <row r="12" spans="1:16" s="86" customFormat="1" ht="24.75" customHeight="1" x14ac:dyDescent="0.25">
      <c r="A12" s="87" t="s">
        <v>109</v>
      </c>
      <c r="B12" s="97" t="s">
        <v>110</v>
      </c>
      <c r="C12" s="98"/>
      <c r="D12" s="98"/>
      <c r="E12" s="90">
        <v>35079000</v>
      </c>
      <c r="F12" s="81">
        <f t="shared" si="0"/>
        <v>0</v>
      </c>
      <c r="G12" s="90">
        <v>35079000</v>
      </c>
      <c r="H12" s="81">
        <f t="shared" si="1"/>
        <v>0</v>
      </c>
      <c r="I12" s="90">
        <v>35079000</v>
      </c>
      <c r="J12" s="91">
        <v>37641000</v>
      </c>
      <c r="K12" s="83">
        <f t="shared" si="2"/>
        <v>0</v>
      </c>
      <c r="L12" s="91">
        <v>37641000</v>
      </c>
      <c r="M12" s="92" t="e">
        <f>#REF!-#REF!</f>
        <v>#REF!</v>
      </c>
      <c r="N12" s="93">
        <v>40351000</v>
      </c>
      <c r="O12" s="83">
        <f t="shared" si="3"/>
        <v>0</v>
      </c>
      <c r="P12" s="93">
        <v>40351000</v>
      </c>
    </row>
    <row r="13" spans="1:16" ht="18" customHeight="1" x14ac:dyDescent="0.25">
      <c r="A13" s="87" t="s">
        <v>111</v>
      </c>
      <c r="B13" s="99" t="s">
        <v>112</v>
      </c>
      <c r="C13" s="100"/>
      <c r="D13" s="100"/>
      <c r="E13" s="90">
        <v>0</v>
      </c>
      <c r="F13" s="81">
        <f t="shared" si="0"/>
        <v>0</v>
      </c>
      <c r="G13" s="90">
        <v>0</v>
      </c>
      <c r="H13" s="81">
        <f t="shared" si="1"/>
        <v>0</v>
      </c>
      <c r="I13" s="90">
        <v>0</v>
      </c>
      <c r="J13" s="91">
        <v>0</v>
      </c>
      <c r="K13" s="83">
        <f t="shared" si="2"/>
        <v>0</v>
      </c>
      <c r="L13" s="91">
        <v>0</v>
      </c>
      <c r="M13" s="92" t="e">
        <f>#REF!-#REF!</f>
        <v>#REF!</v>
      </c>
      <c r="N13" s="93">
        <v>0</v>
      </c>
      <c r="O13" s="83">
        <f t="shared" si="3"/>
        <v>0</v>
      </c>
      <c r="P13" s="93">
        <v>0</v>
      </c>
    </row>
    <row r="14" spans="1:16" ht="18" customHeight="1" x14ac:dyDescent="0.25">
      <c r="A14" s="87" t="s">
        <v>113</v>
      </c>
      <c r="B14" s="99" t="s">
        <v>114</v>
      </c>
      <c r="C14" s="100"/>
      <c r="D14" s="100"/>
      <c r="E14" s="90">
        <v>1221000</v>
      </c>
      <c r="F14" s="81">
        <f t="shared" si="0"/>
        <v>450959.74</v>
      </c>
      <c r="G14" s="90">
        <f>1221000+450959.74</f>
        <v>1671959.74</v>
      </c>
      <c r="H14" s="81">
        <f t="shared" si="1"/>
        <v>0</v>
      </c>
      <c r="I14" s="90">
        <f>1221000+450959.74</f>
        <v>1671959.74</v>
      </c>
      <c r="J14" s="91">
        <v>1258000</v>
      </c>
      <c r="K14" s="83">
        <f t="shared" si="2"/>
        <v>0</v>
      </c>
      <c r="L14" s="91">
        <v>1258000</v>
      </c>
      <c r="M14" s="92" t="e">
        <f>#REF!-#REF!</f>
        <v>#REF!</v>
      </c>
      <c r="N14" s="93">
        <v>1294000</v>
      </c>
      <c r="O14" s="83">
        <f t="shared" si="3"/>
        <v>0</v>
      </c>
      <c r="P14" s="93">
        <v>1294000</v>
      </c>
    </row>
    <row r="15" spans="1:16" ht="24" customHeight="1" x14ac:dyDescent="0.25">
      <c r="A15" s="87" t="s">
        <v>115</v>
      </c>
      <c r="B15" s="97" t="s">
        <v>116</v>
      </c>
      <c r="C15" s="98"/>
      <c r="D15" s="98"/>
      <c r="E15" s="90">
        <v>3918000</v>
      </c>
      <c r="F15" s="81">
        <f t="shared" si="0"/>
        <v>3000000</v>
      </c>
      <c r="G15" s="90">
        <f>3918000+3000000</f>
        <v>6918000</v>
      </c>
      <c r="H15" s="81">
        <f t="shared" si="1"/>
        <v>0</v>
      </c>
      <c r="I15" s="90">
        <f>3918000+3000000</f>
        <v>6918000</v>
      </c>
      <c r="J15" s="91">
        <v>4320000</v>
      </c>
      <c r="K15" s="83">
        <f t="shared" si="2"/>
        <v>0</v>
      </c>
      <c r="L15" s="91">
        <v>4320000</v>
      </c>
      <c r="M15" s="92" t="e">
        <f>#REF!-#REF!</f>
        <v>#REF!</v>
      </c>
      <c r="N15" s="93">
        <v>4717000</v>
      </c>
      <c r="O15" s="83">
        <f t="shared" si="3"/>
        <v>0</v>
      </c>
      <c r="P15" s="93">
        <v>4717000</v>
      </c>
    </row>
    <row r="16" spans="1:16" ht="22.5" customHeight="1" x14ac:dyDescent="0.25">
      <c r="A16" s="78" t="s">
        <v>117</v>
      </c>
      <c r="B16" s="101" t="s">
        <v>118</v>
      </c>
      <c r="C16" s="101"/>
      <c r="D16" s="101"/>
      <c r="E16" s="80">
        <f>E17</f>
        <v>10733100</v>
      </c>
      <c r="F16" s="81">
        <f t="shared" si="0"/>
        <v>0</v>
      </c>
      <c r="G16" s="80">
        <f>G17</f>
        <v>10733100</v>
      </c>
      <c r="H16" s="81">
        <f t="shared" si="1"/>
        <v>0</v>
      </c>
      <c r="I16" s="80">
        <f>I17</f>
        <v>10733100</v>
      </c>
      <c r="J16" s="82">
        <f>J17</f>
        <v>10786500</v>
      </c>
      <c r="K16" s="83">
        <f t="shared" si="2"/>
        <v>0</v>
      </c>
      <c r="L16" s="82">
        <f>L17</f>
        <v>10786500</v>
      </c>
      <c r="M16" s="84" t="e">
        <f>#REF!-#REF!</f>
        <v>#REF!</v>
      </c>
      <c r="N16" s="85">
        <f>N17</f>
        <v>10840100</v>
      </c>
      <c r="O16" s="83">
        <f t="shared" si="3"/>
        <v>0</v>
      </c>
      <c r="P16" s="85">
        <f>P17</f>
        <v>10840100</v>
      </c>
    </row>
    <row r="17" spans="1:16" ht="17.25" customHeight="1" x14ac:dyDescent="0.25">
      <c r="A17" s="87" t="s">
        <v>119</v>
      </c>
      <c r="B17" s="97" t="s">
        <v>118</v>
      </c>
      <c r="C17" s="98"/>
      <c r="D17" s="98"/>
      <c r="E17" s="90">
        <v>10733100</v>
      </c>
      <c r="F17" s="81">
        <f t="shared" si="0"/>
        <v>0</v>
      </c>
      <c r="G17" s="90">
        <v>10733100</v>
      </c>
      <c r="H17" s="81">
        <f t="shared" si="1"/>
        <v>0</v>
      </c>
      <c r="I17" s="90">
        <v>10733100</v>
      </c>
      <c r="J17" s="91">
        <v>10786500</v>
      </c>
      <c r="K17" s="83">
        <f t="shared" si="2"/>
        <v>0</v>
      </c>
      <c r="L17" s="91">
        <v>10786500</v>
      </c>
      <c r="M17" s="92" t="e">
        <f>#REF!-#REF!</f>
        <v>#REF!</v>
      </c>
      <c r="N17" s="93">
        <v>10840100</v>
      </c>
      <c r="O17" s="83">
        <f t="shared" si="3"/>
        <v>0</v>
      </c>
      <c r="P17" s="93">
        <v>10840100</v>
      </c>
    </row>
    <row r="18" spans="1:16" s="86" customFormat="1" x14ac:dyDescent="0.25">
      <c r="A18" s="78" t="s">
        <v>120</v>
      </c>
      <c r="B18" s="79" t="s">
        <v>121</v>
      </c>
      <c r="C18" s="79"/>
      <c r="D18" s="79"/>
      <c r="E18" s="80">
        <f>E19</f>
        <v>3797000</v>
      </c>
      <c r="F18" s="81">
        <f t="shared" si="0"/>
        <v>3000000</v>
      </c>
      <c r="G18" s="80">
        <f>G19</f>
        <v>6797000</v>
      </c>
      <c r="H18" s="81">
        <f t="shared" si="1"/>
        <v>0</v>
      </c>
      <c r="I18" s="80">
        <f>I19</f>
        <v>6797000</v>
      </c>
      <c r="J18" s="82">
        <f>J19</f>
        <v>3815500</v>
      </c>
      <c r="K18" s="83">
        <f t="shared" si="2"/>
        <v>0</v>
      </c>
      <c r="L18" s="82">
        <f>L19</f>
        <v>3815500</v>
      </c>
      <c r="M18" s="84" t="e">
        <f>#REF!-#REF!</f>
        <v>#REF!</v>
      </c>
      <c r="N18" s="85">
        <f>N19</f>
        <v>3815500</v>
      </c>
      <c r="O18" s="83">
        <f t="shared" si="3"/>
        <v>0</v>
      </c>
      <c r="P18" s="85">
        <f>P19</f>
        <v>3815500</v>
      </c>
    </row>
    <row r="19" spans="1:16" ht="43.9" customHeight="1" x14ac:dyDescent="0.25">
      <c r="A19" s="87" t="s">
        <v>122</v>
      </c>
      <c r="B19" s="88" t="s">
        <v>123</v>
      </c>
      <c r="C19" s="89"/>
      <c r="D19" s="89"/>
      <c r="E19" s="90">
        <v>3797000</v>
      </c>
      <c r="F19" s="81">
        <f t="shared" si="0"/>
        <v>3000000</v>
      </c>
      <c r="G19" s="90">
        <f>3797000+3000000</f>
        <v>6797000</v>
      </c>
      <c r="H19" s="81">
        <f t="shared" si="1"/>
        <v>0</v>
      </c>
      <c r="I19" s="90">
        <f>3797000+3000000</f>
        <v>6797000</v>
      </c>
      <c r="J19" s="91">
        <v>3815500</v>
      </c>
      <c r="K19" s="83">
        <f t="shared" si="2"/>
        <v>0</v>
      </c>
      <c r="L19" s="91">
        <v>3815500</v>
      </c>
      <c r="M19" s="92" t="e">
        <f>#REF!-#REF!</f>
        <v>#REF!</v>
      </c>
      <c r="N19" s="93">
        <v>3815500</v>
      </c>
      <c r="O19" s="83">
        <f t="shared" si="3"/>
        <v>0</v>
      </c>
      <c r="P19" s="93">
        <v>3815500</v>
      </c>
    </row>
    <row r="20" spans="1:16" s="77" customFormat="1" x14ac:dyDescent="0.25">
      <c r="A20" s="78"/>
      <c r="B20" s="79" t="s">
        <v>124</v>
      </c>
      <c r="C20" s="79"/>
      <c r="D20" s="79"/>
      <c r="E20" s="80">
        <f>E21+E28+E30+E34+E38</f>
        <v>64300168</v>
      </c>
      <c r="F20" s="81">
        <f t="shared" si="0"/>
        <v>9213280.2599999905</v>
      </c>
      <c r="G20" s="80">
        <f>G21+G28+G30+G34+G38</f>
        <v>73513448.25999999</v>
      </c>
      <c r="H20" s="81">
        <f t="shared" si="1"/>
        <v>0</v>
      </c>
      <c r="I20" s="80">
        <f>I21+I28+I30+I34+I38</f>
        <v>73513448.25999999</v>
      </c>
      <c r="J20" s="82">
        <f>J21+J28+J30+J34+J38</f>
        <v>66813100</v>
      </c>
      <c r="K20" s="83">
        <f t="shared" si="2"/>
        <v>0</v>
      </c>
      <c r="L20" s="82">
        <f>L21+L28+L30+L34+L38</f>
        <v>66813100</v>
      </c>
      <c r="M20" s="84" t="e">
        <f>#REF!-#REF!</f>
        <v>#REF!</v>
      </c>
      <c r="N20" s="85">
        <f>N21+N28+N30+N34+N38</f>
        <v>71613700</v>
      </c>
      <c r="O20" s="83">
        <f t="shared" si="3"/>
        <v>0</v>
      </c>
      <c r="P20" s="85">
        <f>P21+P28+P30+P34+P38</f>
        <v>71613700</v>
      </c>
    </row>
    <row r="21" spans="1:16" s="77" customFormat="1" ht="31.5" x14ac:dyDescent="0.25">
      <c r="A21" s="78" t="s">
        <v>125</v>
      </c>
      <c r="B21" s="79" t="s">
        <v>126</v>
      </c>
      <c r="C21" s="79"/>
      <c r="D21" s="79"/>
      <c r="E21" s="80">
        <f>E22+E23+E24+E25+E26+E27</f>
        <v>11470900</v>
      </c>
      <c r="F21" s="81">
        <f t="shared" si="0"/>
        <v>-450959.74000000022</v>
      </c>
      <c r="G21" s="80">
        <f>G22+G23+G24+G25+G26+G27</f>
        <v>11019940.26</v>
      </c>
      <c r="H21" s="81">
        <f t="shared" si="1"/>
        <v>0</v>
      </c>
      <c r="I21" s="80">
        <f>I22+I23+I24+I25+I26+I27</f>
        <v>11019940.26</v>
      </c>
      <c r="J21" s="102">
        <f>J22+J23+J24+J25+J26+J27</f>
        <v>11277400</v>
      </c>
      <c r="K21" s="83">
        <f t="shared" si="2"/>
        <v>0</v>
      </c>
      <c r="L21" s="102">
        <f>L22+L23+L24+L25+L26+L27</f>
        <v>11277400</v>
      </c>
      <c r="M21" s="84" t="e">
        <f>#REF!-#REF!</f>
        <v>#REF!</v>
      </c>
      <c r="N21" s="80">
        <f>N22+N23+N24+N25+N26+N27</f>
        <v>11167100</v>
      </c>
      <c r="O21" s="83">
        <f t="shared" si="3"/>
        <v>0</v>
      </c>
      <c r="P21" s="80">
        <f>P22+P23+P24+P25+P26+P27</f>
        <v>11167100</v>
      </c>
    </row>
    <row r="22" spans="1:16" ht="71.25" customHeight="1" x14ac:dyDescent="0.25">
      <c r="A22" s="103" t="s">
        <v>127</v>
      </c>
      <c r="B22" s="104" t="s">
        <v>128</v>
      </c>
      <c r="C22" s="105"/>
      <c r="D22" s="105"/>
      <c r="E22" s="90">
        <v>5823900</v>
      </c>
      <c r="F22" s="81">
        <f t="shared" si="0"/>
        <v>-450959.74000000022</v>
      </c>
      <c r="G22" s="90">
        <f>5823900-450959.74</f>
        <v>5372940.2599999998</v>
      </c>
      <c r="H22" s="81">
        <f t="shared" si="1"/>
        <v>0</v>
      </c>
      <c r="I22" s="90">
        <f>5823900-450959.74</f>
        <v>5372940.2599999998</v>
      </c>
      <c r="J22" s="91">
        <v>5699600</v>
      </c>
      <c r="K22" s="83">
        <f t="shared" si="2"/>
        <v>0</v>
      </c>
      <c r="L22" s="91">
        <v>5699600</v>
      </c>
      <c r="M22" s="92"/>
      <c r="N22" s="93">
        <v>5629850</v>
      </c>
      <c r="O22" s="83">
        <f t="shared" si="3"/>
        <v>0</v>
      </c>
      <c r="P22" s="93">
        <v>5629850</v>
      </c>
    </row>
    <row r="23" spans="1:16" ht="71.25" customHeight="1" x14ac:dyDescent="0.25">
      <c r="A23" s="106" t="s">
        <v>129</v>
      </c>
      <c r="B23" s="88" t="s">
        <v>130</v>
      </c>
      <c r="C23" s="105"/>
      <c r="D23" s="105"/>
      <c r="E23" s="90">
        <v>701000</v>
      </c>
      <c r="F23" s="81">
        <f t="shared" si="0"/>
        <v>0</v>
      </c>
      <c r="G23" s="90">
        <v>701000</v>
      </c>
      <c r="H23" s="81">
        <f t="shared" si="1"/>
        <v>0</v>
      </c>
      <c r="I23" s="90">
        <v>701000</v>
      </c>
      <c r="J23" s="91">
        <v>631800</v>
      </c>
      <c r="K23" s="83">
        <f t="shared" si="2"/>
        <v>0</v>
      </c>
      <c r="L23" s="91">
        <v>631800</v>
      </c>
      <c r="M23" s="92"/>
      <c r="N23" s="93">
        <v>591250</v>
      </c>
      <c r="O23" s="83">
        <f t="shared" si="3"/>
        <v>0</v>
      </c>
      <c r="P23" s="93">
        <v>591250</v>
      </c>
    </row>
    <row r="24" spans="1:16" ht="54" customHeight="1" x14ac:dyDescent="0.25">
      <c r="A24" s="87" t="s">
        <v>131</v>
      </c>
      <c r="B24" s="104" t="s">
        <v>132</v>
      </c>
      <c r="C24" s="105"/>
      <c r="D24" s="105"/>
      <c r="E24" s="90">
        <v>262900</v>
      </c>
      <c r="F24" s="81">
        <f t="shared" si="0"/>
        <v>0</v>
      </c>
      <c r="G24" s="90">
        <v>262900</v>
      </c>
      <c r="H24" s="81">
        <f t="shared" si="1"/>
        <v>0</v>
      </c>
      <c r="I24" s="90">
        <v>262900</v>
      </c>
      <c r="J24" s="91">
        <v>262900</v>
      </c>
      <c r="K24" s="83">
        <f t="shared" si="2"/>
        <v>0</v>
      </c>
      <c r="L24" s="91">
        <v>262900</v>
      </c>
      <c r="M24" s="92" t="e">
        <f>#REF!-#REF!</f>
        <v>#REF!</v>
      </c>
      <c r="N24" s="93">
        <v>262900</v>
      </c>
      <c r="O24" s="83">
        <f t="shared" si="3"/>
        <v>0</v>
      </c>
      <c r="P24" s="93">
        <v>262900</v>
      </c>
    </row>
    <row r="25" spans="1:16" ht="28.5" customHeight="1" x14ac:dyDescent="0.25">
      <c r="A25" s="87" t="s">
        <v>133</v>
      </c>
      <c r="B25" s="104" t="s">
        <v>134</v>
      </c>
      <c r="C25" s="105"/>
      <c r="D25" s="105"/>
      <c r="E25" s="90">
        <v>3699400</v>
      </c>
      <c r="F25" s="81">
        <f t="shared" si="0"/>
        <v>0</v>
      </c>
      <c r="G25" s="90">
        <v>3699400</v>
      </c>
      <c r="H25" s="81">
        <f t="shared" si="1"/>
        <v>0</v>
      </c>
      <c r="I25" s="90">
        <v>3699400</v>
      </c>
      <c r="J25" s="107">
        <v>3699400</v>
      </c>
      <c r="K25" s="83">
        <f t="shared" si="2"/>
        <v>0</v>
      </c>
      <c r="L25" s="107">
        <v>3699400</v>
      </c>
      <c r="M25" s="92" t="e">
        <f>#REF!-#REF!</f>
        <v>#REF!</v>
      </c>
      <c r="N25" s="90">
        <v>3699400</v>
      </c>
      <c r="O25" s="83">
        <f t="shared" si="3"/>
        <v>0</v>
      </c>
      <c r="P25" s="90">
        <v>3699400</v>
      </c>
    </row>
    <row r="26" spans="1:16" ht="37.5" customHeight="1" x14ac:dyDescent="0.25">
      <c r="A26" s="87" t="s">
        <v>135</v>
      </c>
      <c r="B26" s="108" t="s">
        <v>136</v>
      </c>
      <c r="C26" s="109"/>
      <c r="D26" s="109"/>
      <c r="E26" s="90">
        <v>0</v>
      </c>
      <c r="F26" s="81">
        <f t="shared" si="0"/>
        <v>0</v>
      </c>
      <c r="G26" s="90">
        <v>0</v>
      </c>
      <c r="H26" s="81">
        <f t="shared" si="1"/>
        <v>0</v>
      </c>
      <c r="I26" s="90">
        <v>0</v>
      </c>
      <c r="J26" s="91">
        <v>0</v>
      </c>
      <c r="K26" s="83">
        <f t="shared" si="2"/>
        <v>0</v>
      </c>
      <c r="L26" s="91">
        <v>0</v>
      </c>
      <c r="M26" s="92" t="e">
        <f>#REF!-#REF!</f>
        <v>#REF!</v>
      </c>
      <c r="N26" s="93">
        <v>0</v>
      </c>
      <c r="O26" s="83">
        <f t="shared" si="3"/>
        <v>0</v>
      </c>
      <c r="P26" s="93">
        <v>0</v>
      </c>
    </row>
    <row r="27" spans="1:16" ht="48.75" customHeight="1" x14ac:dyDescent="0.25">
      <c r="A27" s="87" t="s">
        <v>137</v>
      </c>
      <c r="B27" s="88" t="s">
        <v>138</v>
      </c>
      <c r="C27" s="89"/>
      <c r="D27" s="89"/>
      <c r="E27" s="90">
        <v>983700</v>
      </c>
      <c r="F27" s="81">
        <f t="shared" si="0"/>
        <v>0</v>
      </c>
      <c r="G27" s="90">
        <v>983700</v>
      </c>
      <c r="H27" s="81">
        <f t="shared" si="1"/>
        <v>0</v>
      </c>
      <c r="I27" s="90">
        <v>983700</v>
      </c>
      <c r="J27" s="107">
        <v>983700</v>
      </c>
      <c r="K27" s="83">
        <f t="shared" si="2"/>
        <v>0</v>
      </c>
      <c r="L27" s="107">
        <v>983700</v>
      </c>
      <c r="M27" s="92" t="e">
        <f>#REF!-#REF!</f>
        <v>#REF!</v>
      </c>
      <c r="N27" s="90">
        <v>983700</v>
      </c>
      <c r="O27" s="83">
        <f t="shared" si="3"/>
        <v>0</v>
      </c>
      <c r="P27" s="90">
        <v>983700</v>
      </c>
    </row>
    <row r="28" spans="1:16" s="86" customFormat="1" x14ac:dyDescent="0.25">
      <c r="A28" s="78" t="s">
        <v>139</v>
      </c>
      <c r="B28" s="79" t="s">
        <v>140</v>
      </c>
      <c r="C28" s="79"/>
      <c r="D28" s="79"/>
      <c r="E28" s="80">
        <f>E29</f>
        <v>122100</v>
      </c>
      <c r="F28" s="81">
        <f t="shared" si="0"/>
        <v>600000</v>
      </c>
      <c r="G28" s="80">
        <f>G29</f>
        <v>722100</v>
      </c>
      <c r="H28" s="81">
        <f t="shared" si="1"/>
        <v>0</v>
      </c>
      <c r="I28" s="80">
        <f>I29</f>
        <v>722100</v>
      </c>
      <c r="J28" s="82">
        <f>J29</f>
        <v>122200</v>
      </c>
      <c r="K28" s="83">
        <f t="shared" si="2"/>
        <v>0</v>
      </c>
      <c r="L28" s="82">
        <f>L29</f>
        <v>122200</v>
      </c>
      <c r="M28" s="84" t="e">
        <f>#REF!-#REF!</f>
        <v>#REF!</v>
      </c>
      <c r="N28" s="85">
        <f>N29</f>
        <v>122300</v>
      </c>
      <c r="O28" s="83">
        <f t="shared" si="3"/>
        <v>0</v>
      </c>
      <c r="P28" s="85">
        <f>P29</f>
        <v>122300</v>
      </c>
    </row>
    <row r="29" spans="1:16" ht="25.9" customHeight="1" x14ac:dyDescent="0.25">
      <c r="A29" s="87" t="s">
        <v>141</v>
      </c>
      <c r="B29" s="89" t="s">
        <v>142</v>
      </c>
      <c r="C29" s="89"/>
      <c r="D29" s="89"/>
      <c r="E29" s="90">
        <v>122100</v>
      </c>
      <c r="F29" s="81">
        <f t="shared" si="0"/>
        <v>600000</v>
      </c>
      <c r="G29" s="90">
        <f>122100+280000+320000</f>
        <v>722100</v>
      </c>
      <c r="H29" s="81">
        <f t="shared" si="1"/>
        <v>0</v>
      </c>
      <c r="I29" s="90">
        <f>122100+280000+320000</f>
        <v>722100</v>
      </c>
      <c r="J29" s="91">
        <v>122200</v>
      </c>
      <c r="K29" s="83">
        <f t="shared" si="2"/>
        <v>0</v>
      </c>
      <c r="L29" s="91">
        <v>122200</v>
      </c>
      <c r="M29" s="92" t="e">
        <f>#REF!-#REF!</f>
        <v>#REF!</v>
      </c>
      <c r="N29" s="93">
        <v>122300</v>
      </c>
      <c r="O29" s="83">
        <f t="shared" si="3"/>
        <v>0</v>
      </c>
      <c r="P29" s="93">
        <v>122300</v>
      </c>
    </row>
    <row r="30" spans="1:16" s="86" customFormat="1" ht="32.25" customHeight="1" x14ac:dyDescent="0.25">
      <c r="A30" s="78" t="s">
        <v>143</v>
      </c>
      <c r="B30" s="110" t="s">
        <v>144</v>
      </c>
      <c r="C30" s="110"/>
      <c r="D30" s="110"/>
      <c r="E30" s="80">
        <f>E31+E32+E33</f>
        <v>50564468</v>
      </c>
      <c r="F30" s="81">
        <f t="shared" si="0"/>
        <v>2450000</v>
      </c>
      <c r="G30" s="80">
        <f>G31+G32+G33</f>
        <v>53014468</v>
      </c>
      <c r="H30" s="81">
        <f t="shared" si="1"/>
        <v>0</v>
      </c>
      <c r="I30" s="80">
        <f>I31+I32+I33</f>
        <v>53014468</v>
      </c>
      <c r="J30" s="102">
        <f>J31+J32+J33</f>
        <v>53269100</v>
      </c>
      <c r="K30" s="83">
        <f t="shared" si="2"/>
        <v>0</v>
      </c>
      <c r="L30" s="102">
        <f>L31+L32+L33</f>
        <v>53269100</v>
      </c>
      <c r="M30" s="84" t="e">
        <f>#REF!-#REF!</f>
        <v>#REF!</v>
      </c>
      <c r="N30" s="85">
        <f>N31+N32+N33</f>
        <v>58178600</v>
      </c>
      <c r="O30" s="83">
        <f t="shared" si="3"/>
        <v>0</v>
      </c>
      <c r="P30" s="85">
        <f>P31+P32+P33</f>
        <v>58178600</v>
      </c>
    </row>
    <row r="31" spans="1:16" ht="34.15" customHeight="1" x14ac:dyDescent="0.25">
      <c r="A31" s="87" t="s">
        <v>145</v>
      </c>
      <c r="B31" s="111" t="s">
        <v>146</v>
      </c>
      <c r="C31" s="112"/>
      <c r="D31" s="112"/>
      <c r="E31" s="90">
        <v>49902568</v>
      </c>
      <c r="F31" s="81">
        <f t="shared" si="0"/>
        <v>0</v>
      </c>
      <c r="G31" s="90">
        <v>49902568</v>
      </c>
      <c r="H31" s="81">
        <f t="shared" si="1"/>
        <v>0</v>
      </c>
      <c r="I31" s="90">
        <v>49902568</v>
      </c>
      <c r="J31" s="91">
        <v>52592800</v>
      </c>
      <c r="K31" s="83">
        <f t="shared" si="2"/>
        <v>0</v>
      </c>
      <c r="L31" s="91">
        <v>52592800</v>
      </c>
      <c r="M31" s="92" t="e">
        <f>#REF!-#REF!</f>
        <v>#REF!</v>
      </c>
      <c r="N31" s="93">
        <v>57487200</v>
      </c>
      <c r="O31" s="83">
        <f t="shared" si="3"/>
        <v>0</v>
      </c>
      <c r="P31" s="93">
        <v>57487200</v>
      </c>
    </row>
    <row r="32" spans="1:16" ht="28.5" customHeight="1" x14ac:dyDescent="0.25">
      <c r="A32" s="87" t="s">
        <v>147</v>
      </c>
      <c r="B32" s="113" t="s">
        <v>148</v>
      </c>
      <c r="C32" s="114"/>
      <c r="D32" s="114"/>
      <c r="E32" s="90">
        <v>361300</v>
      </c>
      <c r="F32" s="81">
        <f t="shared" si="0"/>
        <v>0</v>
      </c>
      <c r="G32" s="90">
        <v>361300</v>
      </c>
      <c r="H32" s="81">
        <f t="shared" si="1"/>
        <v>0</v>
      </c>
      <c r="I32" s="90">
        <v>361300</v>
      </c>
      <c r="J32" s="91">
        <v>375700</v>
      </c>
      <c r="K32" s="83">
        <f t="shared" si="2"/>
        <v>0</v>
      </c>
      <c r="L32" s="91">
        <v>375700</v>
      </c>
      <c r="M32" s="92" t="e">
        <f>#REF!-#REF!</f>
        <v>#REF!</v>
      </c>
      <c r="N32" s="93">
        <v>390800</v>
      </c>
      <c r="O32" s="83">
        <f t="shared" si="3"/>
        <v>0</v>
      </c>
      <c r="P32" s="93">
        <v>390800</v>
      </c>
    </row>
    <row r="33" spans="1:16" x14ac:dyDescent="0.25">
      <c r="A33" s="87" t="s">
        <v>149</v>
      </c>
      <c r="B33" s="111" t="s">
        <v>150</v>
      </c>
      <c r="C33" s="112"/>
      <c r="D33" s="112"/>
      <c r="E33" s="90">
        <v>300600</v>
      </c>
      <c r="F33" s="81">
        <f t="shared" si="0"/>
        <v>2450000</v>
      </c>
      <c r="G33" s="90">
        <f>300600+500000+1950000</f>
        <v>2750600</v>
      </c>
      <c r="H33" s="81">
        <f t="shared" si="1"/>
        <v>0</v>
      </c>
      <c r="I33" s="90">
        <f>300600+500000+1950000</f>
        <v>2750600</v>
      </c>
      <c r="J33" s="91">
        <v>300600</v>
      </c>
      <c r="K33" s="83">
        <f t="shared" si="2"/>
        <v>0</v>
      </c>
      <c r="L33" s="91">
        <v>300600</v>
      </c>
      <c r="M33" s="92" t="e">
        <f>#REF!-#REF!</f>
        <v>#REF!</v>
      </c>
      <c r="N33" s="93">
        <v>300600</v>
      </c>
      <c r="O33" s="83">
        <f t="shared" si="3"/>
        <v>0</v>
      </c>
      <c r="P33" s="93">
        <v>300600</v>
      </c>
    </row>
    <row r="34" spans="1:16" s="86" customFormat="1" ht="30" customHeight="1" x14ac:dyDescent="0.25">
      <c r="A34" s="78" t="s">
        <v>151</v>
      </c>
      <c r="B34" s="79" t="s">
        <v>152</v>
      </c>
      <c r="C34" s="79"/>
      <c r="D34" s="79"/>
      <c r="E34" s="80">
        <f>E35+E36+E37</f>
        <v>523700</v>
      </c>
      <c r="F34" s="81">
        <f t="shared" si="0"/>
        <v>200000</v>
      </c>
      <c r="G34" s="80">
        <f>G35+G36+G37</f>
        <v>723700</v>
      </c>
      <c r="H34" s="81">
        <f t="shared" si="1"/>
        <v>0</v>
      </c>
      <c r="I34" s="80">
        <f>I35+I36+I37</f>
        <v>723700</v>
      </c>
      <c r="J34" s="102">
        <f>J35+J36+J37</f>
        <v>323700</v>
      </c>
      <c r="K34" s="83">
        <f t="shared" si="2"/>
        <v>0</v>
      </c>
      <c r="L34" s="102">
        <f>L35+L36+L37</f>
        <v>323700</v>
      </c>
      <c r="M34" s="84" t="e">
        <f>#REF!-#REF!</f>
        <v>#REF!</v>
      </c>
      <c r="N34" s="85">
        <f>N35+N36+N37</f>
        <v>323700</v>
      </c>
      <c r="O34" s="83">
        <f t="shared" si="3"/>
        <v>0</v>
      </c>
      <c r="P34" s="85">
        <f>P35+P36+P37</f>
        <v>323700</v>
      </c>
    </row>
    <row r="35" spans="1:16" ht="60" customHeight="1" x14ac:dyDescent="0.25">
      <c r="A35" s="115" t="s">
        <v>153</v>
      </c>
      <c r="B35" s="88" t="s">
        <v>154</v>
      </c>
      <c r="C35" s="89"/>
      <c r="D35" s="89"/>
      <c r="E35" s="90">
        <v>73700</v>
      </c>
      <c r="F35" s="81">
        <f t="shared" si="0"/>
        <v>0</v>
      </c>
      <c r="G35" s="90">
        <v>73700</v>
      </c>
      <c r="H35" s="81">
        <f t="shared" si="1"/>
        <v>0</v>
      </c>
      <c r="I35" s="90">
        <v>73700</v>
      </c>
      <c r="J35" s="91">
        <v>73700</v>
      </c>
      <c r="K35" s="83">
        <f t="shared" si="2"/>
        <v>0</v>
      </c>
      <c r="L35" s="91">
        <v>73700</v>
      </c>
      <c r="M35" s="92" t="e">
        <f>#REF!-#REF!</f>
        <v>#REF!</v>
      </c>
      <c r="N35" s="93">
        <v>73700</v>
      </c>
      <c r="O35" s="83">
        <f t="shared" si="3"/>
        <v>0</v>
      </c>
      <c r="P35" s="93">
        <v>73700</v>
      </c>
    </row>
    <row r="36" spans="1:16" ht="29.25" customHeight="1" x14ac:dyDescent="0.25">
      <c r="A36" s="87" t="s">
        <v>155</v>
      </c>
      <c r="B36" s="88" t="s">
        <v>156</v>
      </c>
      <c r="C36" s="89"/>
      <c r="D36" s="89"/>
      <c r="E36" s="90">
        <v>250000</v>
      </c>
      <c r="F36" s="81">
        <f t="shared" si="0"/>
        <v>200000</v>
      </c>
      <c r="G36" s="90">
        <f>250000+200000</f>
        <v>450000</v>
      </c>
      <c r="H36" s="81">
        <f t="shared" si="1"/>
        <v>0</v>
      </c>
      <c r="I36" s="90">
        <f>250000+200000</f>
        <v>450000</v>
      </c>
      <c r="J36" s="107">
        <v>250000</v>
      </c>
      <c r="K36" s="83">
        <f t="shared" si="2"/>
        <v>0</v>
      </c>
      <c r="L36" s="107">
        <v>250000</v>
      </c>
      <c r="M36" s="92" t="e">
        <f>#REF!-#REF!</f>
        <v>#REF!</v>
      </c>
      <c r="N36" s="90">
        <v>250000</v>
      </c>
      <c r="O36" s="83">
        <f t="shared" si="3"/>
        <v>0</v>
      </c>
      <c r="P36" s="90">
        <v>250000</v>
      </c>
    </row>
    <row r="37" spans="1:16" ht="39.75" customHeight="1" x14ac:dyDescent="0.25">
      <c r="A37" s="116" t="s">
        <v>157</v>
      </c>
      <c r="B37" s="117" t="s">
        <v>158</v>
      </c>
      <c r="C37" s="89"/>
      <c r="D37" s="89"/>
      <c r="E37" s="90">
        <v>200000</v>
      </c>
      <c r="F37" s="81">
        <f t="shared" si="0"/>
        <v>0</v>
      </c>
      <c r="G37" s="90">
        <v>200000</v>
      </c>
      <c r="H37" s="81">
        <f t="shared" si="1"/>
        <v>0</v>
      </c>
      <c r="I37" s="90">
        <v>200000</v>
      </c>
      <c r="J37" s="91"/>
      <c r="K37" s="83">
        <f t="shared" si="2"/>
        <v>0</v>
      </c>
      <c r="L37" s="91"/>
      <c r="M37" s="92"/>
      <c r="N37" s="93"/>
      <c r="O37" s="83">
        <f t="shared" si="3"/>
        <v>0</v>
      </c>
      <c r="P37" s="93"/>
    </row>
    <row r="38" spans="1:16" s="86" customFormat="1" ht="22.15" customHeight="1" x14ac:dyDescent="0.25">
      <c r="A38" s="78" t="s">
        <v>159</v>
      </c>
      <c r="B38" s="79" t="s">
        <v>160</v>
      </c>
      <c r="C38" s="79"/>
      <c r="D38" s="79"/>
      <c r="E38" s="80">
        <v>1619000</v>
      </c>
      <c r="F38" s="81">
        <f t="shared" si="0"/>
        <v>6414240</v>
      </c>
      <c r="G38" s="80">
        <f>1619000+5000000+245000+77600+11640+1080000</f>
        <v>8033240</v>
      </c>
      <c r="H38" s="81">
        <f t="shared" si="1"/>
        <v>0</v>
      </c>
      <c r="I38" s="80">
        <f>1619000+5000000+245000+77600+11640+1080000</f>
        <v>8033240</v>
      </c>
      <c r="J38" s="82">
        <v>1820700</v>
      </c>
      <c r="K38" s="83">
        <f t="shared" si="2"/>
        <v>0</v>
      </c>
      <c r="L38" s="82">
        <v>1820700</v>
      </c>
      <c r="M38" s="84" t="e">
        <f>#REF!-#REF!</f>
        <v>#REF!</v>
      </c>
      <c r="N38" s="85">
        <v>1822000</v>
      </c>
      <c r="O38" s="83">
        <f t="shared" si="3"/>
        <v>0</v>
      </c>
      <c r="P38" s="85">
        <v>1822000</v>
      </c>
    </row>
    <row r="39" spans="1:16" s="86" customFormat="1" ht="22.15" customHeight="1" x14ac:dyDescent="0.25">
      <c r="A39" s="78" t="s">
        <v>161</v>
      </c>
      <c r="B39" s="79" t="s">
        <v>162</v>
      </c>
      <c r="C39" s="79"/>
      <c r="D39" s="79"/>
      <c r="E39" s="80">
        <f>E40+E135</f>
        <v>3371978875.5600004</v>
      </c>
      <c r="F39" s="81">
        <f t="shared" si="0"/>
        <v>224090443.06999922</v>
      </c>
      <c r="G39" s="80">
        <f>G40+G135</f>
        <v>3597369318.6299996</v>
      </c>
      <c r="H39" s="81">
        <f t="shared" si="1"/>
        <v>-1300000</v>
      </c>
      <c r="I39" s="80">
        <f>I40+I135</f>
        <v>3596069318.6299996</v>
      </c>
      <c r="J39" s="102">
        <f>J40+J135</f>
        <v>2625546339.4200001</v>
      </c>
      <c r="K39" s="83">
        <f t="shared" si="2"/>
        <v>0</v>
      </c>
      <c r="L39" s="102">
        <f>L40+L135</f>
        <v>2625546339.4200001</v>
      </c>
      <c r="M39" s="84" t="e">
        <f>#REF!-#REF!</f>
        <v>#REF!</v>
      </c>
      <c r="N39" s="80">
        <f>N40+N135</f>
        <v>1992089930.21</v>
      </c>
      <c r="O39" s="83">
        <f t="shared" si="3"/>
        <v>0</v>
      </c>
      <c r="P39" s="80">
        <f>P40+P135</f>
        <v>1992089930.21</v>
      </c>
    </row>
    <row r="40" spans="1:16" s="77" customFormat="1" ht="31.5" x14ac:dyDescent="0.25">
      <c r="A40" s="78" t="s">
        <v>163</v>
      </c>
      <c r="B40" s="79" t="s">
        <v>164</v>
      </c>
      <c r="C40" s="79"/>
      <c r="D40" s="79"/>
      <c r="E40" s="80">
        <f>E41+E43+E95+E118</f>
        <v>3371978875.5600004</v>
      </c>
      <c r="F40" s="81">
        <f t="shared" si="0"/>
        <v>223818443.06999922</v>
      </c>
      <c r="G40" s="80">
        <f>G41+G43+G95+G118</f>
        <v>3597297318.6299996</v>
      </c>
      <c r="H40" s="81">
        <f t="shared" si="1"/>
        <v>-1500000</v>
      </c>
      <c r="I40" s="80">
        <f>I41+I43+I95+I118</f>
        <v>3595797318.6299996</v>
      </c>
      <c r="J40" s="102">
        <f>J41+J43+J95+J118</f>
        <v>2625546339.4200001</v>
      </c>
      <c r="K40" s="83">
        <f t="shared" si="2"/>
        <v>0</v>
      </c>
      <c r="L40" s="102">
        <f>L41+L43+L95+L118</f>
        <v>2625546339.4200001</v>
      </c>
      <c r="M40" s="84" t="e">
        <f>#REF!-#REF!</f>
        <v>#REF!</v>
      </c>
      <c r="N40" s="80">
        <f>N41+N43+N95+N118</f>
        <v>1992089930.21</v>
      </c>
      <c r="O40" s="83">
        <f t="shared" si="3"/>
        <v>0</v>
      </c>
      <c r="P40" s="80">
        <f>P41+P43+P95+P118</f>
        <v>1992089930.21</v>
      </c>
    </row>
    <row r="41" spans="1:16" s="77" customFormat="1" ht="33" customHeight="1" x14ac:dyDescent="0.25">
      <c r="A41" s="78" t="s">
        <v>165</v>
      </c>
      <c r="B41" s="79" t="s">
        <v>166</v>
      </c>
      <c r="C41" s="79"/>
      <c r="D41" s="79"/>
      <c r="E41" s="80">
        <f>E42</f>
        <v>134251100</v>
      </c>
      <c r="F41" s="81">
        <f t="shared" si="0"/>
        <v>0</v>
      </c>
      <c r="G41" s="80">
        <f>G42</f>
        <v>134251100</v>
      </c>
      <c r="H41" s="81">
        <f t="shared" si="1"/>
        <v>0</v>
      </c>
      <c r="I41" s="80">
        <f>I42</f>
        <v>134251100</v>
      </c>
      <c r="J41" s="102">
        <f>J42</f>
        <v>86367500</v>
      </c>
      <c r="K41" s="83">
        <f t="shared" si="2"/>
        <v>0</v>
      </c>
      <c r="L41" s="102">
        <f>L42</f>
        <v>86367500</v>
      </c>
      <c r="M41" s="84" t="e">
        <f>#REF!-#REF!</f>
        <v>#REF!</v>
      </c>
      <c r="N41" s="80">
        <f>N42</f>
        <v>92700200</v>
      </c>
      <c r="O41" s="83">
        <f t="shared" si="3"/>
        <v>0</v>
      </c>
      <c r="P41" s="80">
        <f>P42</f>
        <v>92700200</v>
      </c>
    </row>
    <row r="42" spans="1:16" ht="24" x14ac:dyDescent="0.25">
      <c r="A42" s="87" t="s">
        <v>167</v>
      </c>
      <c r="B42" s="118" t="s">
        <v>168</v>
      </c>
      <c r="C42" s="119" t="s">
        <v>169</v>
      </c>
      <c r="D42" s="119"/>
      <c r="E42" s="90">
        <v>134251100</v>
      </c>
      <c r="F42" s="81">
        <f t="shared" si="0"/>
        <v>0</v>
      </c>
      <c r="G42" s="90">
        <v>134251100</v>
      </c>
      <c r="H42" s="81">
        <f t="shared" si="1"/>
        <v>0</v>
      </c>
      <c r="I42" s="90">
        <v>134251100</v>
      </c>
      <c r="J42" s="91">
        <v>86367500</v>
      </c>
      <c r="K42" s="83">
        <f t="shared" si="2"/>
        <v>0</v>
      </c>
      <c r="L42" s="91">
        <v>86367500</v>
      </c>
      <c r="M42" s="92" t="e">
        <f>#REF!-#REF!</f>
        <v>#REF!</v>
      </c>
      <c r="N42" s="93">
        <v>92700200</v>
      </c>
      <c r="O42" s="83">
        <f t="shared" si="3"/>
        <v>0</v>
      </c>
      <c r="P42" s="93">
        <v>92700200</v>
      </c>
    </row>
    <row r="43" spans="1:16" s="77" customFormat="1" ht="39" customHeight="1" x14ac:dyDescent="0.25">
      <c r="A43" s="78" t="s">
        <v>170</v>
      </c>
      <c r="B43" s="79" t="s">
        <v>171</v>
      </c>
      <c r="C43" s="79"/>
      <c r="D43" s="79"/>
      <c r="E43" s="80">
        <f>SUM(E44:E94)</f>
        <v>1914341653.6300001</v>
      </c>
      <c r="F43" s="81">
        <f t="shared" si="0"/>
        <v>162385126.35999966</v>
      </c>
      <c r="G43" s="80">
        <f>SUM(G44:G94)</f>
        <v>2076726779.9899998</v>
      </c>
      <c r="H43" s="81">
        <f t="shared" si="1"/>
        <v>0</v>
      </c>
      <c r="I43" s="80">
        <f>SUM(I44:I94)</f>
        <v>2076726779.9899998</v>
      </c>
      <c r="J43" s="120">
        <f>SUM(J44:J94)</f>
        <v>1263277635.73</v>
      </c>
      <c r="K43" s="83">
        <f t="shared" si="2"/>
        <v>0</v>
      </c>
      <c r="L43" s="102">
        <f>SUM(L44:L94)</f>
        <v>1263277635.73</v>
      </c>
      <c r="M43" s="84" t="e">
        <f>#REF!-#REF!</f>
        <v>#REF!</v>
      </c>
      <c r="N43" s="121">
        <f>SUM(N44:N94)</f>
        <v>480595631.19</v>
      </c>
      <c r="O43" s="83">
        <f t="shared" si="3"/>
        <v>0</v>
      </c>
      <c r="P43" s="80">
        <f>SUM(P44:P94)</f>
        <v>480595631.19</v>
      </c>
    </row>
    <row r="44" spans="1:16" ht="40.5" customHeight="1" x14ac:dyDescent="0.25">
      <c r="A44" s="87" t="s">
        <v>172</v>
      </c>
      <c r="B44" s="118" t="s">
        <v>173</v>
      </c>
      <c r="C44" s="89" t="s">
        <v>174</v>
      </c>
      <c r="D44" s="89" t="s">
        <v>175</v>
      </c>
      <c r="E44" s="122">
        <v>22297040</v>
      </c>
      <c r="F44" s="81">
        <f t="shared" si="0"/>
        <v>0</v>
      </c>
      <c r="G44" s="123">
        <v>22297040</v>
      </c>
      <c r="H44" s="81">
        <f t="shared" si="1"/>
        <v>0</v>
      </c>
      <c r="I44" s="124">
        <v>22297040</v>
      </c>
      <c r="J44" s="125">
        <v>40159600</v>
      </c>
      <c r="K44" s="126">
        <f t="shared" si="2"/>
        <v>0</v>
      </c>
      <c r="L44" s="125">
        <v>40159600</v>
      </c>
      <c r="M44" s="127" t="e">
        <f>#REF!-#REF!</f>
        <v>#REF!</v>
      </c>
      <c r="N44" s="125">
        <v>51574100</v>
      </c>
      <c r="O44" s="126">
        <f t="shared" si="3"/>
        <v>0</v>
      </c>
      <c r="P44" s="125">
        <v>51574100</v>
      </c>
    </row>
    <row r="45" spans="1:16" ht="34.5" customHeight="1" x14ac:dyDescent="0.25">
      <c r="A45" s="87" t="s">
        <v>172</v>
      </c>
      <c r="B45" s="118" t="s">
        <v>176</v>
      </c>
      <c r="C45" s="89" t="s">
        <v>177</v>
      </c>
      <c r="D45" s="89" t="s">
        <v>178</v>
      </c>
      <c r="E45" s="90"/>
      <c r="F45" s="81">
        <f t="shared" si="0"/>
        <v>10574900</v>
      </c>
      <c r="G45" s="128">
        <v>10574900</v>
      </c>
      <c r="H45" s="81">
        <f t="shared" si="1"/>
        <v>0</v>
      </c>
      <c r="I45" s="107">
        <v>10574900</v>
      </c>
      <c r="J45" s="91"/>
      <c r="K45" s="83">
        <f t="shared" si="2"/>
        <v>0</v>
      </c>
      <c r="L45" s="91"/>
      <c r="M45" s="92"/>
      <c r="N45" s="91"/>
      <c r="O45" s="83">
        <f t="shared" si="3"/>
        <v>0</v>
      </c>
      <c r="P45" s="91"/>
    </row>
    <row r="46" spans="1:16" s="66" customFormat="1" ht="57.75" customHeight="1" x14ac:dyDescent="0.25">
      <c r="A46" s="87" t="s">
        <v>172</v>
      </c>
      <c r="B46" s="118" t="s">
        <v>179</v>
      </c>
      <c r="C46" s="89" t="s">
        <v>180</v>
      </c>
      <c r="D46" s="89" t="s">
        <v>181</v>
      </c>
      <c r="E46" s="129">
        <v>7486600</v>
      </c>
      <c r="F46" s="83">
        <f t="shared" si="0"/>
        <v>0</v>
      </c>
      <c r="G46" s="130">
        <f>7486600</f>
        <v>7486600</v>
      </c>
      <c r="H46" s="131">
        <f t="shared" si="1"/>
        <v>0</v>
      </c>
      <c r="I46" s="130">
        <f>7486600</f>
        <v>7486600</v>
      </c>
      <c r="J46" s="91">
        <v>0</v>
      </c>
      <c r="K46" s="83">
        <f t="shared" si="2"/>
        <v>0</v>
      </c>
      <c r="L46" s="91">
        <v>0</v>
      </c>
      <c r="M46" s="92" t="e">
        <f>#REF!-#REF!</f>
        <v>#REF!</v>
      </c>
      <c r="N46" s="91">
        <v>0</v>
      </c>
      <c r="O46" s="83">
        <f t="shared" si="3"/>
        <v>0</v>
      </c>
      <c r="P46" s="91">
        <v>0</v>
      </c>
    </row>
    <row r="47" spans="1:16" s="66" customFormat="1" ht="51" hidden="1" customHeight="1" x14ac:dyDescent="0.25">
      <c r="A47" s="87" t="s">
        <v>172</v>
      </c>
      <c r="B47" s="118" t="s">
        <v>182</v>
      </c>
      <c r="C47" s="89" t="s">
        <v>183</v>
      </c>
      <c r="D47" s="89"/>
      <c r="E47" s="90"/>
      <c r="F47" s="81">
        <f t="shared" si="0"/>
        <v>0</v>
      </c>
      <c r="G47" s="107"/>
      <c r="H47" s="81">
        <f t="shared" si="1"/>
        <v>0</v>
      </c>
      <c r="I47" s="107"/>
      <c r="J47" s="91"/>
      <c r="K47" s="83">
        <f t="shared" si="2"/>
        <v>0</v>
      </c>
      <c r="L47" s="91"/>
      <c r="M47" s="92" t="e">
        <f>#REF!-#REF!</f>
        <v>#REF!</v>
      </c>
      <c r="N47" s="91"/>
      <c r="O47" s="83">
        <f t="shared" si="3"/>
        <v>0</v>
      </c>
      <c r="P47" s="91"/>
    </row>
    <row r="48" spans="1:16" s="66" customFormat="1" ht="87.75" hidden="1" customHeight="1" x14ac:dyDescent="0.25">
      <c r="A48" s="87" t="s">
        <v>172</v>
      </c>
      <c r="B48" s="132" t="s">
        <v>184</v>
      </c>
      <c r="C48" s="133" t="s">
        <v>185</v>
      </c>
      <c r="D48" s="133"/>
      <c r="E48" s="90"/>
      <c r="F48" s="81">
        <f t="shared" si="0"/>
        <v>0</v>
      </c>
      <c r="G48" s="128"/>
      <c r="H48" s="81">
        <f t="shared" si="1"/>
        <v>0</v>
      </c>
      <c r="I48" s="107"/>
      <c r="J48" s="91"/>
      <c r="K48" s="83">
        <f t="shared" si="2"/>
        <v>0</v>
      </c>
      <c r="L48" s="91"/>
      <c r="M48" s="92" t="e">
        <f>#REF!-#REF!</f>
        <v>#REF!</v>
      </c>
      <c r="N48" s="91"/>
      <c r="O48" s="83">
        <f t="shared" si="3"/>
        <v>0</v>
      </c>
      <c r="P48" s="91"/>
    </row>
    <row r="49" spans="1:16" s="66" customFormat="1" ht="70.5" customHeight="1" x14ac:dyDescent="0.25">
      <c r="A49" s="87" t="s">
        <v>186</v>
      </c>
      <c r="B49" s="118" t="s">
        <v>187</v>
      </c>
      <c r="C49" s="89" t="s">
        <v>188</v>
      </c>
      <c r="D49" s="89" t="s">
        <v>189</v>
      </c>
      <c r="E49" s="129">
        <v>54036500</v>
      </c>
      <c r="F49" s="83">
        <f t="shared" si="0"/>
        <v>31816800</v>
      </c>
      <c r="G49" s="134">
        <f>54036500+31816800</f>
        <v>85853300</v>
      </c>
      <c r="H49" s="131">
        <f t="shared" si="1"/>
        <v>0</v>
      </c>
      <c r="I49" s="134">
        <f>54036500+31816800</f>
        <v>85853300</v>
      </c>
      <c r="J49" s="134">
        <v>53624600</v>
      </c>
      <c r="K49" s="126">
        <f t="shared" si="2"/>
        <v>0</v>
      </c>
      <c r="L49" s="134">
        <v>53624600</v>
      </c>
      <c r="M49" s="135" t="e">
        <f>#REF!-#REF!</f>
        <v>#REF!</v>
      </c>
      <c r="N49" s="134">
        <v>59866100</v>
      </c>
      <c r="O49" s="126">
        <f t="shared" si="3"/>
        <v>0</v>
      </c>
      <c r="P49" s="134">
        <v>59866100</v>
      </c>
    </row>
    <row r="50" spans="1:16" s="66" customFormat="1" ht="3.75" customHeight="1" x14ac:dyDescent="0.25">
      <c r="A50" s="87" t="s">
        <v>190</v>
      </c>
      <c r="B50" s="118" t="s">
        <v>191</v>
      </c>
      <c r="C50" s="89" t="s">
        <v>192</v>
      </c>
      <c r="D50" s="89"/>
      <c r="E50" s="90"/>
      <c r="F50" s="81">
        <f t="shared" si="0"/>
        <v>0</v>
      </c>
      <c r="G50" s="107"/>
      <c r="H50" s="81">
        <f t="shared" si="1"/>
        <v>0</v>
      </c>
      <c r="I50" s="107"/>
      <c r="J50" s="91"/>
      <c r="K50" s="83">
        <f t="shared" si="2"/>
        <v>0</v>
      </c>
      <c r="L50" s="91"/>
      <c r="M50" s="92" t="e">
        <f>#REF!-#REF!</f>
        <v>#REF!</v>
      </c>
      <c r="N50" s="91"/>
      <c r="O50" s="83">
        <f t="shared" si="3"/>
        <v>0</v>
      </c>
      <c r="P50" s="91"/>
    </row>
    <row r="51" spans="1:16" s="66" customFormat="1" ht="60" customHeight="1" x14ac:dyDescent="0.25">
      <c r="A51" s="115" t="s">
        <v>193</v>
      </c>
      <c r="B51" s="136" t="s">
        <v>194</v>
      </c>
      <c r="C51" s="137" t="s">
        <v>195</v>
      </c>
      <c r="D51" s="133" t="s">
        <v>196</v>
      </c>
      <c r="E51" s="90"/>
      <c r="F51" s="81">
        <f t="shared" si="0"/>
        <v>0</v>
      </c>
      <c r="G51" s="107"/>
      <c r="H51" s="81">
        <f t="shared" si="1"/>
        <v>0</v>
      </c>
      <c r="I51" s="107"/>
      <c r="J51" s="107"/>
      <c r="K51" s="83">
        <f t="shared" si="2"/>
        <v>0</v>
      </c>
      <c r="L51" s="107"/>
      <c r="M51" s="92"/>
      <c r="N51" s="107"/>
      <c r="O51" s="83">
        <f t="shared" si="3"/>
        <v>0</v>
      </c>
      <c r="P51" s="107"/>
    </row>
    <row r="52" spans="1:16" s="66" customFormat="1" ht="60" customHeight="1" x14ac:dyDescent="0.25">
      <c r="A52" s="138" t="s">
        <v>197</v>
      </c>
      <c r="B52" s="139" t="s">
        <v>198</v>
      </c>
      <c r="C52" s="133" t="s">
        <v>199</v>
      </c>
      <c r="D52" s="133" t="s">
        <v>200</v>
      </c>
      <c r="E52" s="140">
        <v>22000000</v>
      </c>
      <c r="F52" s="81">
        <f t="shared" si="0"/>
        <v>0</v>
      </c>
      <c r="G52" s="128">
        <v>22000000</v>
      </c>
      <c r="H52" s="81">
        <f t="shared" si="1"/>
        <v>0</v>
      </c>
      <c r="I52" s="107">
        <v>22000000</v>
      </c>
      <c r="J52" s="91"/>
      <c r="K52" s="83">
        <f t="shared" si="2"/>
        <v>0</v>
      </c>
      <c r="L52" s="91"/>
      <c r="M52" s="92"/>
      <c r="N52" s="91">
        <v>1100000</v>
      </c>
      <c r="O52" s="83">
        <f t="shared" si="3"/>
        <v>0</v>
      </c>
      <c r="P52" s="91">
        <v>1100000</v>
      </c>
    </row>
    <row r="53" spans="1:16" s="66" customFormat="1" ht="61.5" customHeight="1" x14ac:dyDescent="0.25">
      <c r="A53" s="87" t="s">
        <v>201</v>
      </c>
      <c r="B53" s="118" t="s">
        <v>202</v>
      </c>
      <c r="C53" s="89" t="s">
        <v>203</v>
      </c>
      <c r="D53" s="89" t="s">
        <v>204</v>
      </c>
      <c r="E53" s="129">
        <f>4576500+14487900</f>
        <v>19064400</v>
      </c>
      <c r="F53" s="83">
        <f t="shared" si="0"/>
        <v>0</v>
      </c>
      <c r="G53" s="134">
        <f>4576500+14487900</f>
        <v>19064400</v>
      </c>
      <c r="H53" s="131">
        <f t="shared" si="1"/>
        <v>0</v>
      </c>
      <c r="I53" s="134">
        <f>4576500+14487900</f>
        <v>19064400</v>
      </c>
      <c r="J53" s="134">
        <f>5749800+14075700</f>
        <v>19825500</v>
      </c>
      <c r="K53" s="126">
        <f t="shared" si="2"/>
        <v>0</v>
      </c>
      <c r="L53" s="134">
        <f>5749800+14075700</f>
        <v>19825500</v>
      </c>
      <c r="M53" s="135" t="e">
        <f>#REF!-#REF!</f>
        <v>#REF!</v>
      </c>
      <c r="N53" s="134">
        <f>5979200+14639200</f>
        <v>20618400</v>
      </c>
      <c r="O53" s="126">
        <f t="shared" si="3"/>
        <v>0</v>
      </c>
      <c r="P53" s="134">
        <f>5979200+14639200</f>
        <v>20618400</v>
      </c>
    </row>
    <row r="54" spans="1:16" s="66" customFormat="1" ht="48.75" customHeight="1" x14ac:dyDescent="0.25">
      <c r="A54" s="87" t="s">
        <v>205</v>
      </c>
      <c r="B54" s="118" t="s">
        <v>206</v>
      </c>
      <c r="C54" s="89" t="s">
        <v>207</v>
      </c>
      <c r="D54" s="89" t="s">
        <v>208</v>
      </c>
      <c r="E54" s="129">
        <f>326000+1108000</f>
        <v>1434000</v>
      </c>
      <c r="F54" s="83">
        <f t="shared" si="0"/>
        <v>0</v>
      </c>
      <c r="G54" s="134">
        <f>326000+1108000</f>
        <v>1434000</v>
      </c>
      <c r="H54" s="131">
        <f t="shared" si="1"/>
        <v>0</v>
      </c>
      <c r="I54" s="134">
        <f>326000+1108000</f>
        <v>1434000</v>
      </c>
      <c r="J54" s="134">
        <f>398700+1237000</f>
        <v>1635700</v>
      </c>
      <c r="K54" s="126">
        <f t="shared" si="2"/>
        <v>0</v>
      </c>
      <c r="L54" s="134">
        <f>398700+1237000</f>
        <v>1635700</v>
      </c>
      <c r="M54" s="135" t="e">
        <f>#REF!-#REF!</f>
        <v>#REF!</v>
      </c>
      <c r="N54" s="134">
        <f>398700+1117900</f>
        <v>1516600</v>
      </c>
      <c r="O54" s="126">
        <f t="shared" si="3"/>
        <v>0</v>
      </c>
      <c r="P54" s="134">
        <f>398700+1117900</f>
        <v>1516600</v>
      </c>
    </row>
    <row r="55" spans="1:16" s="66" customFormat="1" ht="45.75" customHeight="1" x14ac:dyDescent="0.25">
      <c r="A55" s="87"/>
      <c r="B55" s="118" t="s">
        <v>209</v>
      </c>
      <c r="C55" s="89" t="s">
        <v>210</v>
      </c>
      <c r="D55" s="89"/>
      <c r="E55" s="90"/>
      <c r="F55" s="81">
        <f t="shared" si="0"/>
        <v>107109110.98</v>
      </c>
      <c r="G55" s="128">
        <v>107109110.98</v>
      </c>
      <c r="H55" s="81">
        <f t="shared" si="1"/>
        <v>0</v>
      </c>
      <c r="I55" s="107">
        <v>107109110.98</v>
      </c>
      <c r="J55" s="91"/>
      <c r="K55" s="83">
        <f t="shared" si="2"/>
        <v>0</v>
      </c>
      <c r="L55" s="91"/>
      <c r="M55" s="92" t="e">
        <f>#REF!-#REF!</f>
        <v>#REF!</v>
      </c>
      <c r="N55" s="91"/>
      <c r="O55" s="83">
        <f t="shared" si="3"/>
        <v>0</v>
      </c>
      <c r="P55" s="91"/>
    </row>
    <row r="56" spans="1:16" ht="55.5" customHeight="1" x14ac:dyDescent="0.25">
      <c r="A56" s="141" t="s">
        <v>211</v>
      </c>
      <c r="B56" s="142" t="s">
        <v>212</v>
      </c>
      <c r="C56" s="143" t="s">
        <v>213</v>
      </c>
      <c r="D56" s="143" t="s">
        <v>214</v>
      </c>
      <c r="E56" s="134">
        <f>75900+244500</f>
        <v>320400</v>
      </c>
      <c r="F56" s="82">
        <f t="shared" si="0"/>
        <v>0</v>
      </c>
      <c r="G56" s="134">
        <f>75900+244500</f>
        <v>320400</v>
      </c>
      <c r="H56" s="144">
        <f t="shared" si="1"/>
        <v>0</v>
      </c>
      <c r="I56" s="134">
        <f>75900+244500</f>
        <v>320400</v>
      </c>
      <c r="J56" s="134">
        <f>94100+226800</f>
        <v>320900</v>
      </c>
      <c r="K56" s="145">
        <f t="shared" si="2"/>
        <v>0</v>
      </c>
      <c r="L56" s="134">
        <f>94100+226800</f>
        <v>320900</v>
      </c>
      <c r="M56" s="135" t="e">
        <f>#REF!-#REF!</f>
        <v>#REF!</v>
      </c>
      <c r="N56" s="134">
        <f>94100+222000</f>
        <v>316100</v>
      </c>
      <c r="O56" s="145">
        <f t="shared" si="3"/>
        <v>0</v>
      </c>
      <c r="P56" s="134">
        <f>94100+222000</f>
        <v>316100</v>
      </c>
    </row>
    <row r="57" spans="1:16" s="66" customFormat="1" ht="41.25" customHeight="1" x14ac:dyDescent="0.25">
      <c r="A57" s="87" t="s">
        <v>211</v>
      </c>
      <c r="B57" s="118" t="s">
        <v>215</v>
      </c>
      <c r="C57" s="89" t="s">
        <v>216</v>
      </c>
      <c r="D57" s="89"/>
      <c r="E57" s="140"/>
      <c r="F57" s="81">
        <f t="shared" si="0"/>
        <v>0</v>
      </c>
      <c r="G57" s="107"/>
      <c r="H57" s="81">
        <f t="shared" si="1"/>
        <v>0</v>
      </c>
      <c r="I57" s="107"/>
      <c r="J57" s="91">
        <v>3147975</v>
      </c>
      <c r="K57" s="83">
        <f t="shared" si="2"/>
        <v>0</v>
      </c>
      <c r="L57" s="91">
        <v>3147975</v>
      </c>
      <c r="M57" s="92" t="e">
        <f>#REF!-#REF!</f>
        <v>#REF!</v>
      </c>
      <c r="N57" s="91"/>
      <c r="O57" s="83">
        <f t="shared" si="3"/>
        <v>0</v>
      </c>
      <c r="P57" s="91"/>
    </row>
    <row r="58" spans="1:16" s="66" customFormat="1" ht="39" customHeight="1" x14ac:dyDescent="0.25">
      <c r="A58" s="87" t="s">
        <v>211</v>
      </c>
      <c r="B58" s="118" t="s">
        <v>217</v>
      </c>
      <c r="C58" s="89" t="s">
        <v>218</v>
      </c>
      <c r="D58" s="89" t="s">
        <v>219</v>
      </c>
      <c r="E58" s="140">
        <v>271953885.80000001</v>
      </c>
      <c r="F58" s="81">
        <f t="shared" si="0"/>
        <v>9.9999904632568359E-3</v>
      </c>
      <c r="G58" s="128">
        <f>271953885.8+0.01</f>
        <v>271953885.81</v>
      </c>
      <c r="H58" s="81">
        <f t="shared" si="1"/>
        <v>0</v>
      </c>
      <c r="I58" s="107">
        <f>271953885.8+0.01</f>
        <v>271953885.81</v>
      </c>
      <c r="J58" s="91">
        <v>191603010.44</v>
      </c>
      <c r="K58" s="83">
        <f t="shared" si="2"/>
        <v>0</v>
      </c>
      <c r="L58" s="91">
        <v>191603010.44</v>
      </c>
      <c r="M58" s="92" t="e">
        <f>#REF!-#REF!</f>
        <v>#REF!</v>
      </c>
      <c r="N58" s="91">
        <v>132933160.90000001</v>
      </c>
      <c r="O58" s="83">
        <f t="shared" si="3"/>
        <v>0</v>
      </c>
      <c r="P58" s="91">
        <v>132933160.90000001</v>
      </c>
    </row>
    <row r="59" spans="1:16" s="66" customFormat="1" ht="47.25" customHeight="1" x14ac:dyDescent="0.25">
      <c r="A59" s="87" t="s">
        <v>220</v>
      </c>
      <c r="B59" s="118" t="s">
        <v>221</v>
      </c>
      <c r="C59" s="89" t="s">
        <v>222</v>
      </c>
      <c r="D59" s="89" t="s">
        <v>223</v>
      </c>
      <c r="E59" s="129">
        <v>370468.49</v>
      </c>
      <c r="F59" s="83">
        <f t="shared" si="0"/>
        <v>0</v>
      </c>
      <c r="G59" s="134">
        <v>370468.49</v>
      </c>
      <c r="H59" s="131">
        <f t="shared" si="1"/>
        <v>0</v>
      </c>
      <c r="I59" s="134">
        <v>370468.49</v>
      </c>
      <c r="J59" s="134">
        <v>370468.49</v>
      </c>
      <c r="K59" s="126">
        <f t="shared" si="2"/>
        <v>0</v>
      </c>
      <c r="L59" s="134">
        <v>370468.49</v>
      </c>
      <c r="M59" s="135" t="e">
        <f>#REF!-#REF!</f>
        <v>#REF!</v>
      </c>
      <c r="N59" s="134">
        <v>370468.49</v>
      </c>
      <c r="O59" s="126">
        <f t="shared" si="3"/>
        <v>0</v>
      </c>
      <c r="P59" s="134">
        <v>370468.49</v>
      </c>
    </row>
    <row r="60" spans="1:16" s="66" customFormat="1" ht="3" customHeight="1" x14ac:dyDescent="0.25">
      <c r="A60" s="87" t="s">
        <v>224</v>
      </c>
      <c r="B60" s="118" t="s">
        <v>225</v>
      </c>
      <c r="C60" s="89" t="s">
        <v>226</v>
      </c>
      <c r="D60" s="89"/>
      <c r="E60" s="90"/>
      <c r="F60" s="81">
        <f t="shared" si="0"/>
        <v>0</v>
      </c>
      <c r="G60" s="107"/>
      <c r="H60" s="81">
        <f t="shared" si="1"/>
        <v>0</v>
      </c>
      <c r="I60" s="107"/>
      <c r="J60" s="91"/>
      <c r="K60" s="83">
        <f t="shared" si="2"/>
        <v>0</v>
      </c>
      <c r="L60" s="91"/>
      <c r="M60" s="92" t="e">
        <f>#REF!-#REF!</f>
        <v>#REF!</v>
      </c>
      <c r="N60" s="91"/>
      <c r="O60" s="83">
        <f t="shared" si="3"/>
        <v>0</v>
      </c>
      <c r="P60" s="91"/>
    </row>
    <row r="61" spans="1:16" s="66" customFormat="1" ht="32.25" hidden="1" customHeight="1" x14ac:dyDescent="0.25">
      <c r="A61" s="87" t="s">
        <v>224</v>
      </c>
      <c r="B61" s="118" t="s">
        <v>227</v>
      </c>
      <c r="C61" s="89" t="s">
        <v>228</v>
      </c>
      <c r="D61" s="89"/>
      <c r="E61" s="90"/>
      <c r="F61" s="81">
        <f t="shared" si="0"/>
        <v>0</v>
      </c>
      <c r="G61" s="107"/>
      <c r="H61" s="81">
        <f t="shared" si="1"/>
        <v>0</v>
      </c>
      <c r="I61" s="107"/>
      <c r="J61" s="91"/>
      <c r="K61" s="83">
        <f t="shared" si="2"/>
        <v>0</v>
      </c>
      <c r="L61" s="91"/>
      <c r="M61" s="92" t="e">
        <f>#REF!-#REF!</f>
        <v>#REF!</v>
      </c>
      <c r="N61" s="91"/>
      <c r="O61" s="83">
        <f t="shared" si="3"/>
        <v>0</v>
      </c>
      <c r="P61" s="91"/>
    </row>
    <row r="62" spans="1:16" s="66" customFormat="1" ht="33" hidden="1" customHeight="1" x14ac:dyDescent="0.25">
      <c r="A62" s="87" t="s">
        <v>229</v>
      </c>
      <c r="B62" s="118" t="s">
        <v>230</v>
      </c>
      <c r="C62" s="89" t="s">
        <v>231</v>
      </c>
      <c r="D62" s="89" t="s">
        <v>232</v>
      </c>
      <c r="E62" s="90"/>
      <c r="F62" s="81">
        <f t="shared" si="0"/>
        <v>0</v>
      </c>
      <c r="G62" s="107"/>
      <c r="H62" s="81">
        <f t="shared" si="1"/>
        <v>0</v>
      </c>
      <c r="I62" s="107"/>
      <c r="J62" s="91"/>
      <c r="K62" s="83">
        <f t="shared" si="2"/>
        <v>0</v>
      </c>
      <c r="L62" s="91"/>
      <c r="M62" s="92"/>
      <c r="N62" s="91"/>
      <c r="O62" s="83">
        <f t="shared" si="3"/>
        <v>0</v>
      </c>
      <c r="P62" s="91"/>
    </row>
    <row r="63" spans="1:16" s="66" customFormat="1" ht="32.25" hidden="1" customHeight="1" x14ac:dyDescent="0.25">
      <c r="A63" s="87" t="s">
        <v>233</v>
      </c>
      <c r="B63" s="118" t="s">
        <v>234</v>
      </c>
      <c r="C63" s="146" t="s">
        <v>235</v>
      </c>
      <c r="D63" s="146"/>
      <c r="E63" s="90"/>
      <c r="F63" s="81">
        <f t="shared" si="0"/>
        <v>0</v>
      </c>
      <c r="G63" s="107"/>
      <c r="H63" s="81">
        <f t="shared" si="1"/>
        <v>0</v>
      </c>
      <c r="I63" s="107"/>
      <c r="J63" s="91"/>
      <c r="K63" s="83">
        <f t="shared" si="2"/>
        <v>0</v>
      </c>
      <c r="L63" s="91"/>
      <c r="M63" s="92"/>
      <c r="N63" s="91"/>
      <c r="O63" s="83">
        <f t="shared" si="3"/>
        <v>0</v>
      </c>
      <c r="P63" s="91"/>
    </row>
    <row r="64" spans="1:16" s="66" customFormat="1" ht="62.25" customHeight="1" x14ac:dyDescent="0.25">
      <c r="A64" s="87" t="s">
        <v>236</v>
      </c>
      <c r="B64" s="118" t="s">
        <v>237</v>
      </c>
      <c r="C64" s="146" t="s">
        <v>238</v>
      </c>
      <c r="D64" s="146" t="s">
        <v>239</v>
      </c>
      <c r="E64" s="90"/>
      <c r="F64" s="81">
        <f t="shared" si="0"/>
        <v>0</v>
      </c>
      <c r="G64" s="107"/>
      <c r="H64" s="81">
        <f t="shared" si="1"/>
        <v>0</v>
      </c>
      <c r="I64" s="107"/>
      <c r="J64" s="91"/>
      <c r="K64" s="83">
        <f t="shared" si="2"/>
        <v>0</v>
      </c>
      <c r="L64" s="91"/>
      <c r="M64" s="92"/>
      <c r="N64" s="91"/>
      <c r="O64" s="83">
        <f t="shared" si="3"/>
        <v>0</v>
      </c>
      <c r="P64" s="91"/>
    </row>
    <row r="65" spans="1:16" s="66" customFormat="1" ht="54" customHeight="1" x14ac:dyDescent="0.25">
      <c r="A65" s="87"/>
      <c r="B65" s="118" t="s">
        <v>240</v>
      </c>
      <c r="C65" s="146"/>
      <c r="D65" s="146"/>
      <c r="E65" s="140">
        <v>9027981.6400000006</v>
      </c>
      <c r="F65" s="81">
        <f t="shared" si="0"/>
        <v>-9027981.6400000006</v>
      </c>
      <c r="G65" s="107">
        <f>9027981.64-9027981.64</f>
        <v>0</v>
      </c>
      <c r="H65" s="81">
        <f t="shared" si="1"/>
        <v>0</v>
      </c>
      <c r="I65" s="107">
        <f>9027981.64-9027981.64</f>
        <v>0</v>
      </c>
      <c r="J65" s="91"/>
      <c r="K65" s="83"/>
      <c r="L65" s="91"/>
      <c r="M65" s="92"/>
      <c r="N65" s="91"/>
      <c r="O65" s="83"/>
      <c r="P65" s="91"/>
    </row>
    <row r="66" spans="1:16" s="66" customFormat="1" ht="54" customHeight="1" x14ac:dyDescent="0.25">
      <c r="A66" s="87"/>
      <c r="B66" s="118" t="s">
        <v>241</v>
      </c>
      <c r="C66" s="146"/>
      <c r="D66" s="146"/>
      <c r="E66" s="140">
        <v>4099500</v>
      </c>
      <c r="F66" s="81">
        <f t="shared" si="0"/>
        <v>-754997.08999999985</v>
      </c>
      <c r="G66" s="107">
        <f>4099531-755028.09</f>
        <v>3344502.91</v>
      </c>
      <c r="H66" s="81">
        <f t="shared" si="1"/>
        <v>0</v>
      </c>
      <c r="I66" s="107">
        <f>4099531-755028.09</f>
        <v>3344502.91</v>
      </c>
      <c r="J66" s="91"/>
      <c r="K66" s="83"/>
      <c r="L66" s="91"/>
      <c r="M66" s="92"/>
      <c r="N66" s="91"/>
      <c r="O66" s="83"/>
      <c r="P66" s="91"/>
    </row>
    <row r="67" spans="1:16" s="66" customFormat="1" ht="58.5" customHeight="1" x14ac:dyDescent="0.25">
      <c r="A67" s="87" t="s">
        <v>236</v>
      </c>
      <c r="B67" s="118" t="s">
        <v>234</v>
      </c>
      <c r="C67" s="89" t="s">
        <v>235</v>
      </c>
      <c r="D67" s="89" t="s">
        <v>242</v>
      </c>
      <c r="E67" s="140">
        <v>468995770.69999999</v>
      </c>
      <c r="F67" s="81">
        <f t="shared" si="0"/>
        <v>0</v>
      </c>
      <c r="G67" s="107">
        <v>468995770.69999999</v>
      </c>
      <c r="H67" s="81">
        <f t="shared" si="1"/>
        <v>0</v>
      </c>
      <c r="I67" s="107">
        <v>468995770.69999999</v>
      </c>
      <c r="J67" s="91">
        <v>864008180</v>
      </c>
      <c r="K67" s="83">
        <f t="shared" si="2"/>
        <v>0</v>
      </c>
      <c r="L67" s="91">
        <v>864008180</v>
      </c>
      <c r="M67" s="92"/>
      <c r="N67" s="91"/>
      <c r="O67" s="83">
        <f t="shared" si="3"/>
        <v>0</v>
      </c>
      <c r="P67" s="91"/>
    </row>
    <row r="68" spans="1:16" s="66" customFormat="1" ht="58.5" hidden="1" customHeight="1" x14ac:dyDescent="0.25">
      <c r="A68" s="87" t="s">
        <v>236</v>
      </c>
      <c r="B68" s="118" t="s">
        <v>237</v>
      </c>
      <c r="C68" s="89" t="s">
        <v>243</v>
      </c>
      <c r="D68" s="89" t="s">
        <v>244</v>
      </c>
      <c r="E68" s="90"/>
      <c r="F68" s="81">
        <f t="shared" si="0"/>
        <v>0</v>
      </c>
      <c r="G68" s="107"/>
      <c r="H68" s="81">
        <f t="shared" si="1"/>
        <v>0</v>
      </c>
      <c r="I68" s="107"/>
      <c r="J68" s="91"/>
      <c r="K68" s="83">
        <f t="shared" si="2"/>
        <v>0</v>
      </c>
      <c r="L68" s="91"/>
      <c r="M68" s="92"/>
      <c r="N68" s="91"/>
      <c r="O68" s="83">
        <f t="shared" si="3"/>
        <v>0</v>
      </c>
      <c r="P68" s="91"/>
    </row>
    <row r="69" spans="1:16" s="66" customFormat="1" ht="39.75" customHeight="1" x14ac:dyDescent="0.25">
      <c r="A69" s="87" t="s">
        <v>245</v>
      </c>
      <c r="B69" s="118" t="s">
        <v>246</v>
      </c>
      <c r="C69" s="89" t="s">
        <v>247</v>
      </c>
      <c r="D69" s="89" t="s">
        <v>248</v>
      </c>
      <c r="E69" s="140">
        <v>2408300</v>
      </c>
      <c r="F69" s="81">
        <f t="shared" ref="F69:F132" si="4">I69-E69</f>
        <v>0</v>
      </c>
      <c r="G69" s="107">
        <v>2408300</v>
      </c>
      <c r="H69" s="81">
        <f t="shared" ref="H69:H132" si="5">I69-G69</f>
        <v>0</v>
      </c>
      <c r="I69" s="107">
        <v>2408300</v>
      </c>
      <c r="J69" s="107">
        <v>2408300</v>
      </c>
      <c r="K69" s="83">
        <f t="shared" ref="K69:K132" si="6">L69-J69</f>
        <v>0</v>
      </c>
      <c r="L69" s="107">
        <v>2408300</v>
      </c>
      <c r="M69" s="107">
        <v>2408300</v>
      </c>
      <c r="N69" s="107">
        <v>2408300</v>
      </c>
      <c r="O69" s="83">
        <f t="shared" ref="O69:O132" si="7">P69-N69</f>
        <v>0</v>
      </c>
      <c r="P69" s="107">
        <v>2408300</v>
      </c>
    </row>
    <row r="70" spans="1:16" s="66" customFormat="1" ht="50.25" hidden="1" customHeight="1" x14ac:dyDescent="0.25">
      <c r="A70" s="87" t="s">
        <v>245</v>
      </c>
      <c r="B70" s="118" t="s">
        <v>249</v>
      </c>
      <c r="C70" s="89" t="s">
        <v>250</v>
      </c>
      <c r="D70" s="89"/>
      <c r="E70" s="90"/>
      <c r="F70" s="81">
        <f t="shared" si="4"/>
        <v>0</v>
      </c>
      <c r="G70" s="107"/>
      <c r="H70" s="81">
        <f t="shared" si="5"/>
        <v>0</v>
      </c>
      <c r="I70" s="107"/>
      <c r="J70" s="91"/>
      <c r="K70" s="83">
        <f t="shared" si="6"/>
        <v>0</v>
      </c>
      <c r="L70" s="91"/>
      <c r="M70" s="92" t="e">
        <f>#REF!-#REF!</f>
        <v>#REF!</v>
      </c>
      <c r="N70" s="91"/>
      <c r="O70" s="83">
        <f t="shared" si="7"/>
        <v>0</v>
      </c>
      <c r="P70" s="91"/>
    </row>
    <row r="71" spans="1:16" s="147" customFormat="1" ht="41.25" customHeight="1" x14ac:dyDescent="0.25">
      <c r="A71" s="87" t="s">
        <v>245</v>
      </c>
      <c r="B71" s="118" t="s">
        <v>251</v>
      </c>
      <c r="C71" s="89" t="s">
        <v>252</v>
      </c>
      <c r="D71" s="89" t="s">
        <v>253</v>
      </c>
      <c r="E71" s="140">
        <v>849288700</v>
      </c>
      <c r="F71" s="81">
        <f t="shared" si="4"/>
        <v>8960000</v>
      </c>
      <c r="G71" s="107">
        <f>849288700+1196800+7763200</f>
        <v>858248700</v>
      </c>
      <c r="H71" s="81">
        <f t="shared" si="5"/>
        <v>0</v>
      </c>
      <c r="I71" s="107">
        <f>849288700+1196800+7763200</f>
        <v>858248700</v>
      </c>
      <c r="J71" s="91">
        <v>0</v>
      </c>
      <c r="K71" s="83">
        <f t="shared" si="6"/>
        <v>0</v>
      </c>
      <c r="L71" s="91">
        <v>0</v>
      </c>
      <c r="M71" s="92" t="e">
        <f>#REF!-#REF!</f>
        <v>#REF!</v>
      </c>
      <c r="N71" s="91">
        <v>0</v>
      </c>
      <c r="O71" s="83">
        <f t="shared" si="7"/>
        <v>0</v>
      </c>
      <c r="P71" s="91">
        <v>0</v>
      </c>
    </row>
    <row r="72" spans="1:16" s="66" customFormat="1" ht="60" customHeight="1" x14ac:dyDescent="0.25">
      <c r="A72" s="87" t="s">
        <v>245</v>
      </c>
      <c r="B72" s="118" t="s">
        <v>254</v>
      </c>
      <c r="C72" s="89" t="s">
        <v>255</v>
      </c>
      <c r="D72" s="89" t="s">
        <v>256</v>
      </c>
      <c r="E72" s="90"/>
      <c r="F72" s="81">
        <f t="shared" si="4"/>
        <v>0</v>
      </c>
      <c r="G72" s="128"/>
      <c r="H72" s="81">
        <f t="shared" si="5"/>
        <v>0</v>
      </c>
      <c r="I72" s="107"/>
      <c r="J72" s="91"/>
      <c r="K72" s="83">
        <f t="shared" si="6"/>
        <v>0</v>
      </c>
      <c r="L72" s="91"/>
      <c r="M72" s="92"/>
      <c r="N72" s="91"/>
      <c r="O72" s="83">
        <f t="shared" si="7"/>
        <v>0</v>
      </c>
      <c r="P72" s="91"/>
    </row>
    <row r="73" spans="1:16" s="66" customFormat="1" ht="68.25" customHeight="1" x14ac:dyDescent="0.25">
      <c r="A73" s="87" t="s">
        <v>245</v>
      </c>
      <c r="B73" s="118" t="s">
        <v>257</v>
      </c>
      <c r="C73" s="89" t="s">
        <v>258</v>
      </c>
      <c r="D73" s="89" t="s">
        <v>259</v>
      </c>
      <c r="E73" s="129">
        <v>75676350</v>
      </c>
      <c r="F73" s="83">
        <f t="shared" si="4"/>
        <v>0</v>
      </c>
      <c r="G73" s="134">
        <v>75676350</v>
      </c>
      <c r="H73" s="131">
        <f t="shared" si="5"/>
        <v>0</v>
      </c>
      <c r="I73" s="134">
        <v>75676350</v>
      </c>
      <c r="J73" s="134">
        <v>60126584.799999997</v>
      </c>
      <c r="K73" s="126">
        <f t="shared" si="6"/>
        <v>0</v>
      </c>
      <c r="L73" s="134">
        <v>60126584.799999997</v>
      </c>
      <c r="M73" s="135" t="e">
        <f>#REF!-#REF!</f>
        <v>#REF!</v>
      </c>
      <c r="N73" s="134">
        <v>60126584.799999997</v>
      </c>
      <c r="O73" s="126">
        <f t="shared" si="7"/>
        <v>0</v>
      </c>
      <c r="P73" s="134">
        <v>60126584.799999997</v>
      </c>
    </row>
    <row r="74" spans="1:16" s="66" customFormat="1" ht="50.25" customHeight="1" x14ac:dyDescent="0.25">
      <c r="A74" s="87" t="s">
        <v>245</v>
      </c>
      <c r="B74" s="118" t="s">
        <v>212</v>
      </c>
      <c r="C74" s="89" t="s">
        <v>260</v>
      </c>
      <c r="D74" s="89" t="s">
        <v>261</v>
      </c>
      <c r="E74" s="90"/>
      <c r="F74" s="81">
        <f t="shared" si="4"/>
        <v>0</v>
      </c>
      <c r="G74" s="107"/>
      <c r="H74" s="81">
        <f t="shared" si="5"/>
        <v>0</v>
      </c>
      <c r="I74" s="107"/>
      <c r="J74" s="91"/>
      <c r="K74" s="83">
        <f t="shared" si="6"/>
        <v>0</v>
      </c>
      <c r="L74" s="91"/>
      <c r="M74" s="92"/>
      <c r="N74" s="91"/>
      <c r="O74" s="83">
        <f t="shared" si="7"/>
        <v>0</v>
      </c>
      <c r="P74" s="91"/>
    </row>
    <row r="75" spans="1:16" s="66" customFormat="1" ht="63" customHeight="1" x14ac:dyDescent="0.25">
      <c r="A75" s="87" t="s">
        <v>245</v>
      </c>
      <c r="B75" s="118" t="s">
        <v>262</v>
      </c>
      <c r="C75" s="89" t="s">
        <v>263</v>
      </c>
      <c r="D75" s="89" t="s">
        <v>264</v>
      </c>
      <c r="E75" s="140">
        <v>31813340</v>
      </c>
      <c r="F75" s="81">
        <f t="shared" si="4"/>
        <v>0</v>
      </c>
      <c r="G75" s="107">
        <v>31813340</v>
      </c>
      <c r="H75" s="81">
        <f t="shared" si="5"/>
        <v>0</v>
      </c>
      <c r="I75" s="107">
        <v>31813340</v>
      </c>
      <c r="J75" s="107"/>
      <c r="K75" s="83">
        <f t="shared" si="6"/>
        <v>0</v>
      </c>
      <c r="L75" s="107"/>
      <c r="M75" s="92"/>
      <c r="N75" s="107"/>
      <c r="O75" s="83">
        <f t="shared" si="7"/>
        <v>0</v>
      </c>
      <c r="P75" s="107"/>
    </row>
    <row r="76" spans="1:16" ht="63" customHeight="1" x14ac:dyDescent="0.25">
      <c r="A76" s="141" t="s">
        <v>245</v>
      </c>
      <c r="B76" s="142" t="s">
        <v>265</v>
      </c>
      <c r="C76" s="143" t="s">
        <v>266</v>
      </c>
      <c r="D76" s="143" t="s">
        <v>267</v>
      </c>
      <c r="E76" s="107"/>
      <c r="F76" s="102">
        <f t="shared" si="4"/>
        <v>129869.56</v>
      </c>
      <c r="G76" s="107">
        <v>129869.56</v>
      </c>
      <c r="H76" s="102">
        <f t="shared" si="5"/>
        <v>0</v>
      </c>
      <c r="I76" s="107">
        <v>129869.56</v>
      </c>
      <c r="J76" s="91"/>
      <c r="K76" s="82">
        <f t="shared" si="6"/>
        <v>0</v>
      </c>
      <c r="L76" s="91"/>
      <c r="M76" s="92"/>
      <c r="N76" s="91"/>
      <c r="O76" s="82">
        <f t="shared" si="7"/>
        <v>0</v>
      </c>
      <c r="P76" s="91"/>
    </row>
    <row r="77" spans="1:16" s="66" customFormat="1" ht="62.25" hidden="1" customHeight="1" x14ac:dyDescent="0.25">
      <c r="A77" s="87" t="s">
        <v>245</v>
      </c>
      <c r="B77" s="118" t="s">
        <v>268</v>
      </c>
      <c r="C77" s="89" t="s">
        <v>269</v>
      </c>
      <c r="D77" s="89"/>
      <c r="E77" s="90"/>
      <c r="F77" s="81">
        <f t="shared" si="4"/>
        <v>0</v>
      </c>
      <c r="G77" s="107"/>
      <c r="H77" s="81">
        <f t="shared" si="5"/>
        <v>0</v>
      </c>
      <c r="I77" s="107"/>
      <c r="J77" s="91"/>
      <c r="K77" s="83">
        <f t="shared" si="6"/>
        <v>0</v>
      </c>
      <c r="L77" s="91"/>
      <c r="M77" s="92" t="e">
        <f>#REF!-#REF!</f>
        <v>#REF!</v>
      </c>
      <c r="N77" s="91"/>
      <c r="O77" s="83">
        <f t="shared" si="7"/>
        <v>0</v>
      </c>
      <c r="P77" s="91"/>
    </row>
    <row r="78" spans="1:16" s="66" customFormat="1" ht="62.25" hidden="1" customHeight="1" x14ac:dyDescent="0.25">
      <c r="A78" s="87" t="s">
        <v>270</v>
      </c>
      <c r="B78" s="118" t="s">
        <v>271</v>
      </c>
      <c r="C78" s="89" t="s">
        <v>272</v>
      </c>
      <c r="D78" s="89"/>
      <c r="E78" s="90"/>
      <c r="F78" s="81">
        <f t="shared" si="4"/>
        <v>0</v>
      </c>
      <c r="G78" s="128"/>
      <c r="H78" s="81">
        <f t="shared" si="5"/>
        <v>0</v>
      </c>
      <c r="I78" s="107"/>
      <c r="J78" s="91"/>
      <c r="K78" s="83">
        <f t="shared" si="6"/>
        <v>0</v>
      </c>
      <c r="L78" s="91"/>
      <c r="M78" s="92" t="e">
        <f>#REF!-#REF!</f>
        <v>#REF!</v>
      </c>
      <c r="N78" s="91"/>
      <c r="O78" s="83">
        <f t="shared" si="7"/>
        <v>0</v>
      </c>
      <c r="P78" s="91"/>
    </row>
    <row r="79" spans="1:16" s="66" customFormat="1" ht="69" customHeight="1" x14ac:dyDescent="0.25">
      <c r="A79" s="87" t="s">
        <v>245</v>
      </c>
      <c r="B79" s="118" t="s">
        <v>273</v>
      </c>
      <c r="C79" s="89" t="s">
        <v>274</v>
      </c>
      <c r="D79" s="89" t="s">
        <v>275</v>
      </c>
      <c r="E79" s="129">
        <v>2000000</v>
      </c>
      <c r="F79" s="83">
        <f t="shared" si="4"/>
        <v>0</v>
      </c>
      <c r="G79" s="130">
        <v>2000000</v>
      </c>
      <c r="H79" s="131">
        <f t="shared" si="5"/>
        <v>0</v>
      </c>
      <c r="I79" s="130">
        <v>2000000</v>
      </c>
      <c r="J79" s="91">
        <v>0</v>
      </c>
      <c r="K79" s="83">
        <f t="shared" si="6"/>
        <v>0</v>
      </c>
      <c r="L79" s="91">
        <v>0</v>
      </c>
      <c r="M79" s="92" t="e">
        <f>#REF!-#REF!</f>
        <v>#REF!</v>
      </c>
      <c r="N79" s="91">
        <v>0</v>
      </c>
      <c r="O79" s="83">
        <f t="shared" si="7"/>
        <v>0</v>
      </c>
      <c r="P79" s="91">
        <v>0</v>
      </c>
    </row>
    <row r="80" spans="1:16" s="66" customFormat="1" ht="51.75" customHeight="1" x14ac:dyDescent="0.25">
      <c r="A80" s="87" t="s">
        <v>245</v>
      </c>
      <c r="B80" s="118" t="s">
        <v>230</v>
      </c>
      <c r="C80" s="89" t="s">
        <v>276</v>
      </c>
      <c r="D80" s="89" t="s">
        <v>277</v>
      </c>
      <c r="E80" s="140"/>
      <c r="F80" s="81">
        <f t="shared" si="4"/>
        <v>0</v>
      </c>
      <c r="G80" s="107"/>
      <c r="H80" s="81">
        <f t="shared" si="5"/>
        <v>0</v>
      </c>
      <c r="I80" s="107"/>
      <c r="J80" s="107"/>
      <c r="K80" s="83">
        <f t="shared" si="6"/>
        <v>0</v>
      </c>
      <c r="L80" s="107"/>
      <c r="M80" s="92"/>
      <c r="N80" s="107">
        <v>117619000</v>
      </c>
      <c r="O80" s="83">
        <f t="shared" si="7"/>
        <v>0</v>
      </c>
      <c r="P80" s="107">
        <v>117619000</v>
      </c>
    </row>
    <row r="81" spans="1:16" s="66" customFormat="1" ht="39.75" customHeight="1" x14ac:dyDescent="0.25">
      <c r="A81" s="87" t="s">
        <v>245</v>
      </c>
      <c r="B81" s="118" t="s">
        <v>278</v>
      </c>
      <c r="C81" s="89" t="s">
        <v>279</v>
      </c>
      <c r="D81" s="89" t="s">
        <v>280</v>
      </c>
      <c r="E81" s="90"/>
      <c r="F81" s="81">
        <f t="shared" si="4"/>
        <v>0</v>
      </c>
      <c r="G81" s="128"/>
      <c r="H81" s="81">
        <f t="shared" si="5"/>
        <v>0</v>
      </c>
      <c r="I81" s="107"/>
      <c r="J81" s="91"/>
      <c r="K81" s="83">
        <f t="shared" si="6"/>
        <v>0</v>
      </c>
      <c r="L81" s="91"/>
      <c r="M81" s="92"/>
      <c r="N81" s="91"/>
      <c r="O81" s="83">
        <f t="shared" si="7"/>
        <v>0</v>
      </c>
      <c r="P81" s="91"/>
    </row>
    <row r="82" spans="1:16" s="66" customFormat="1" ht="62.25" customHeight="1" x14ac:dyDescent="0.25">
      <c r="A82" s="87" t="s">
        <v>245</v>
      </c>
      <c r="B82" s="118" t="s">
        <v>281</v>
      </c>
      <c r="C82" s="89" t="s">
        <v>282</v>
      </c>
      <c r="D82" s="89" t="s">
        <v>283</v>
      </c>
      <c r="E82" s="129">
        <v>24033017</v>
      </c>
      <c r="F82" s="83">
        <f t="shared" si="4"/>
        <v>0</v>
      </c>
      <c r="G82" s="134">
        <v>24033017</v>
      </c>
      <c r="H82" s="131">
        <f t="shared" si="5"/>
        <v>0</v>
      </c>
      <c r="I82" s="134">
        <v>24033017</v>
      </c>
      <c r="J82" s="134">
        <v>24033017</v>
      </c>
      <c r="K82" s="126">
        <f t="shared" si="6"/>
        <v>0</v>
      </c>
      <c r="L82" s="134">
        <v>24033017</v>
      </c>
      <c r="M82" s="135" t="e">
        <f>#REF!-#REF!</f>
        <v>#REF!</v>
      </c>
      <c r="N82" s="134">
        <v>24033017</v>
      </c>
      <c r="O82" s="126">
        <f t="shared" si="7"/>
        <v>0</v>
      </c>
      <c r="P82" s="134">
        <v>24033017</v>
      </c>
    </row>
    <row r="83" spans="1:16" s="66" customFormat="1" ht="44.25" customHeight="1" x14ac:dyDescent="0.25">
      <c r="A83" s="87" t="s">
        <v>245</v>
      </c>
      <c r="B83" s="118" t="s">
        <v>284</v>
      </c>
      <c r="C83" s="89" t="s">
        <v>285</v>
      </c>
      <c r="D83" s="148" t="s">
        <v>286</v>
      </c>
      <c r="E83" s="149"/>
      <c r="F83" s="83">
        <f t="shared" si="4"/>
        <v>11827424.539999999</v>
      </c>
      <c r="G83" s="150">
        <v>11827424.539999999</v>
      </c>
      <c r="H83" s="131">
        <f t="shared" si="5"/>
        <v>0</v>
      </c>
      <c r="I83" s="150">
        <v>11827424.539999999</v>
      </c>
      <c r="J83" s="150"/>
      <c r="K83" s="126">
        <f t="shared" si="6"/>
        <v>0</v>
      </c>
      <c r="L83" s="150"/>
      <c r="M83" s="135"/>
      <c r="N83" s="150"/>
      <c r="O83" s="126">
        <f t="shared" si="7"/>
        <v>0</v>
      </c>
      <c r="P83" s="150"/>
    </row>
    <row r="84" spans="1:16" s="66" customFormat="1" ht="49.5" customHeight="1" x14ac:dyDescent="0.25">
      <c r="A84" s="87" t="s">
        <v>245</v>
      </c>
      <c r="B84" s="118" t="s">
        <v>287</v>
      </c>
      <c r="C84" s="89" t="s">
        <v>288</v>
      </c>
      <c r="D84" s="89" t="s">
        <v>289</v>
      </c>
      <c r="E84" s="140">
        <v>2013800</v>
      </c>
      <c r="F84" s="81">
        <f t="shared" si="4"/>
        <v>0</v>
      </c>
      <c r="G84" s="107">
        <v>2013800</v>
      </c>
      <c r="H84" s="81">
        <f t="shared" si="5"/>
        <v>0</v>
      </c>
      <c r="I84" s="107">
        <v>2013800</v>
      </c>
      <c r="J84" s="91">
        <v>2013800</v>
      </c>
      <c r="K84" s="83">
        <f t="shared" si="6"/>
        <v>0</v>
      </c>
      <c r="L84" s="91">
        <v>2013800</v>
      </c>
      <c r="M84" s="92" t="e">
        <f>#REF!-#REF!</f>
        <v>#REF!</v>
      </c>
      <c r="N84" s="91">
        <v>2013800</v>
      </c>
      <c r="O84" s="83">
        <f t="shared" si="7"/>
        <v>0</v>
      </c>
      <c r="P84" s="91">
        <v>2013800</v>
      </c>
    </row>
    <row r="85" spans="1:16" s="66" customFormat="1" ht="27" customHeight="1" x14ac:dyDescent="0.25">
      <c r="A85" s="87" t="s">
        <v>245</v>
      </c>
      <c r="B85" s="118" t="s">
        <v>290</v>
      </c>
      <c r="C85" s="89" t="s">
        <v>291</v>
      </c>
      <c r="D85" s="89" t="s">
        <v>292</v>
      </c>
      <c r="E85" s="90"/>
      <c r="F85" s="81">
        <f t="shared" si="4"/>
        <v>0</v>
      </c>
      <c r="G85" s="107"/>
      <c r="H85" s="81">
        <f t="shared" si="5"/>
        <v>0</v>
      </c>
      <c r="I85" s="107"/>
      <c r="J85" s="91"/>
      <c r="K85" s="83">
        <f t="shared" si="6"/>
        <v>0</v>
      </c>
      <c r="L85" s="91"/>
      <c r="M85" s="92"/>
      <c r="N85" s="91"/>
      <c r="O85" s="83">
        <f t="shared" si="7"/>
        <v>0</v>
      </c>
      <c r="P85" s="91"/>
    </row>
    <row r="86" spans="1:16" s="66" customFormat="1" ht="52.5" customHeight="1" x14ac:dyDescent="0.25">
      <c r="A86" s="87" t="s">
        <v>245</v>
      </c>
      <c r="B86" s="118" t="s">
        <v>293</v>
      </c>
      <c r="C86" s="89" t="s">
        <v>294</v>
      </c>
      <c r="D86" s="89"/>
      <c r="E86" s="140">
        <v>18000000</v>
      </c>
      <c r="F86" s="81">
        <f t="shared" si="4"/>
        <v>0</v>
      </c>
      <c r="G86" s="107">
        <v>18000000</v>
      </c>
      <c r="H86" s="81">
        <f t="shared" si="5"/>
        <v>0</v>
      </c>
      <c r="I86" s="107">
        <v>18000000</v>
      </c>
      <c r="J86" s="91"/>
      <c r="K86" s="83">
        <f t="shared" si="6"/>
        <v>0</v>
      </c>
      <c r="L86" s="91"/>
      <c r="M86" s="92" t="e">
        <f>#REF!-#REF!</f>
        <v>#REF!</v>
      </c>
      <c r="N86" s="91"/>
      <c r="O86" s="83">
        <f t="shared" si="7"/>
        <v>0</v>
      </c>
      <c r="P86" s="91"/>
    </row>
    <row r="87" spans="1:16" s="66" customFormat="1" ht="49.5" hidden="1" customHeight="1" x14ac:dyDescent="0.25">
      <c r="A87" s="87" t="s">
        <v>245</v>
      </c>
      <c r="B87" s="118" t="s">
        <v>295</v>
      </c>
      <c r="C87" s="89" t="s">
        <v>296</v>
      </c>
      <c r="D87" s="89"/>
      <c r="E87" s="90"/>
      <c r="F87" s="81">
        <f t="shared" si="4"/>
        <v>0</v>
      </c>
      <c r="G87" s="128"/>
      <c r="H87" s="81">
        <f t="shared" si="5"/>
        <v>0</v>
      </c>
      <c r="I87" s="107"/>
      <c r="J87" s="91"/>
      <c r="K87" s="83">
        <f t="shared" si="6"/>
        <v>0</v>
      </c>
      <c r="L87" s="91"/>
      <c r="M87" s="92" t="e">
        <f>#REF!-#REF!</f>
        <v>#REF!</v>
      </c>
      <c r="N87" s="91"/>
      <c r="O87" s="83">
        <f t="shared" si="7"/>
        <v>0</v>
      </c>
      <c r="P87" s="91"/>
    </row>
    <row r="88" spans="1:16" s="66" customFormat="1" ht="42.75" customHeight="1" x14ac:dyDescent="0.25">
      <c r="A88" s="87" t="s">
        <v>245</v>
      </c>
      <c r="B88" s="118" t="s">
        <v>297</v>
      </c>
      <c r="C88" s="89" t="s">
        <v>298</v>
      </c>
      <c r="D88" s="89" t="s">
        <v>299</v>
      </c>
      <c r="E88" s="129">
        <v>1565300</v>
      </c>
      <c r="F88" s="83">
        <f t="shared" si="4"/>
        <v>0</v>
      </c>
      <c r="G88" s="130">
        <v>1565300</v>
      </c>
      <c r="H88" s="131">
        <f t="shared" si="5"/>
        <v>0</v>
      </c>
      <c r="I88" s="130">
        <v>1565300</v>
      </c>
      <c r="J88" s="91">
        <v>0</v>
      </c>
      <c r="K88" s="83">
        <f t="shared" si="6"/>
        <v>0</v>
      </c>
      <c r="L88" s="91">
        <v>0</v>
      </c>
      <c r="M88" s="92" t="e">
        <f>#REF!-#REF!</f>
        <v>#REF!</v>
      </c>
      <c r="N88" s="91">
        <v>0</v>
      </c>
      <c r="O88" s="83">
        <f t="shared" si="7"/>
        <v>0</v>
      </c>
      <c r="P88" s="91">
        <v>0</v>
      </c>
    </row>
    <row r="89" spans="1:16" s="66" customFormat="1" ht="39" customHeight="1" x14ac:dyDescent="0.25">
      <c r="A89" s="87" t="s">
        <v>245</v>
      </c>
      <c r="B89" s="118" t="s">
        <v>300</v>
      </c>
      <c r="C89" s="89" t="s">
        <v>301</v>
      </c>
      <c r="D89" s="89" t="s">
        <v>302</v>
      </c>
      <c r="E89" s="90"/>
      <c r="F89" s="81">
        <f t="shared" si="4"/>
        <v>0</v>
      </c>
      <c r="G89" s="107"/>
      <c r="H89" s="81">
        <f t="shared" si="5"/>
        <v>0</v>
      </c>
      <c r="I89" s="107"/>
      <c r="J89" s="91"/>
      <c r="K89" s="83">
        <f t="shared" si="6"/>
        <v>0</v>
      </c>
      <c r="L89" s="91"/>
      <c r="M89" s="92"/>
      <c r="N89" s="91"/>
      <c r="O89" s="83">
        <f t="shared" si="7"/>
        <v>0</v>
      </c>
      <c r="P89" s="91"/>
    </row>
    <row r="90" spans="1:16" s="66" customFormat="1" ht="51.75" customHeight="1" x14ac:dyDescent="0.25">
      <c r="A90" s="115" t="s">
        <v>303</v>
      </c>
      <c r="B90" s="118" t="s">
        <v>304</v>
      </c>
      <c r="C90" s="89" t="s">
        <v>305</v>
      </c>
      <c r="D90" s="89"/>
      <c r="E90" s="140"/>
      <c r="F90" s="81">
        <f t="shared" si="4"/>
        <v>0</v>
      </c>
      <c r="G90" s="107"/>
      <c r="H90" s="81">
        <f t="shared" si="5"/>
        <v>0</v>
      </c>
      <c r="I90" s="107"/>
      <c r="J90" s="91"/>
      <c r="K90" s="83">
        <f t="shared" si="6"/>
        <v>0</v>
      </c>
      <c r="L90" s="91"/>
      <c r="M90" s="92"/>
      <c r="N90" s="91">
        <v>6100000</v>
      </c>
      <c r="O90" s="83">
        <f t="shared" si="7"/>
        <v>0</v>
      </c>
      <c r="P90" s="91">
        <v>6100000</v>
      </c>
    </row>
    <row r="91" spans="1:16" s="66" customFormat="1" ht="42" customHeight="1" x14ac:dyDescent="0.25">
      <c r="A91" s="87" t="s">
        <v>245</v>
      </c>
      <c r="B91" s="118" t="s">
        <v>306</v>
      </c>
      <c r="C91" s="89" t="s">
        <v>307</v>
      </c>
      <c r="D91" s="89" t="s">
        <v>308</v>
      </c>
      <c r="E91" s="90"/>
      <c r="F91" s="81">
        <f t="shared" si="4"/>
        <v>0</v>
      </c>
      <c r="G91" s="107"/>
      <c r="H91" s="81">
        <f t="shared" si="5"/>
        <v>0</v>
      </c>
      <c r="I91" s="107"/>
      <c r="J91" s="91"/>
      <c r="K91" s="83">
        <f t="shared" si="6"/>
        <v>0</v>
      </c>
      <c r="L91" s="91"/>
      <c r="M91" s="92"/>
      <c r="N91" s="91"/>
      <c r="O91" s="83">
        <f t="shared" si="7"/>
        <v>0</v>
      </c>
      <c r="P91" s="91"/>
    </row>
    <row r="92" spans="1:16" s="66" customFormat="1" ht="49.5" customHeight="1" x14ac:dyDescent="0.25">
      <c r="A92" s="87" t="s">
        <v>245</v>
      </c>
      <c r="B92" s="118" t="s">
        <v>309</v>
      </c>
      <c r="C92" s="146" t="s">
        <v>310</v>
      </c>
      <c r="D92" s="146"/>
      <c r="E92" s="140">
        <v>1479000</v>
      </c>
      <c r="F92" s="81">
        <f t="shared" si="4"/>
        <v>1750000</v>
      </c>
      <c r="G92" s="107">
        <f>1479000+1750000</f>
        <v>3229000</v>
      </c>
      <c r="H92" s="81">
        <f t="shared" si="5"/>
        <v>0</v>
      </c>
      <c r="I92" s="107">
        <f>1479000+1750000</f>
        <v>3229000</v>
      </c>
      <c r="J92" s="91"/>
      <c r="K92" s="83">
        <f t="shared" si="6"/>
        <v>0</v>
      </c>
      <c r="L92" s="91"/>
      <c r="M92" s="92"/>
      <c r="N92" s="91"/>
      <c r="O92" s="83">
        <f t="shared" si="7"/>
        <v>0</v>
      </c>
      <c r="P92" s="91"/>
    </row>
    <row r="93" spans="1:16" s="66" customFormat="1" ht="57.75" customHeight="1" x14ac:dyDescent="0.25">
      <c r="A93" s="151" t="s">
        <v>311</v>
      </c>
      <c r="B93" s="152" t="s">
        <v>312</v>
      </c>
      <c r="C93" s="146"/>
      <c r="D93" s="151" t="s">
        <v>313</v>
      </c>
      <c r="E93" s="153">
        <v>0</v>
      </c>
      <c r="F93" s="81">
        <f t="shared" si="4"/>
        <v>0</v>
      </c>
      <c r="G93" s="154">
        <v>0</v>
      </c>
      <c r="H93" s="81">
        <f t="shared" si="5"/>
        <v>0</v>
      </c>
      <c r="I93" s="155">
        <v>0</v>
      </c>
      <c r="J93" s="134">
        <f>308637766.68-139109355.34-169528411.34</f>
        <v>0</v>
      </c>
      <c r="K93" s="126">
        <f t="shared" si="6"/>
        <v>0</v>
      </c>
      <c r="L93" s="134">
        <f>308637766.68-139109355.34-169528411.34</f>
        <v>0</v>
      </c>
      <c r="M93" s="135"/>
      <c r="N93" s="134">
        <f>372061733.32+139109355.34-511171088.66</f>
        <v>0</v>
      </c>
      <c r="O93" s="126">
        <f t="shared" si="7"/>
        <v>0</v>
      </c>
      <c r="P93" s="134">
        <f>372061733.32+139109355.34-511171088.66</f>
        <v>0</v>
      </c>
    </row>
    <row r="94" spans="1:16" s="66" customFormat="1" ht="49.5" customHeight="1" x14ac:dyDescent="0.25">
      <c r="A94" s="151" t="s">
        <v>311</v>
      </c>
      <c r="B94" s="152" t="s">
        <v>314</v>
      </c>
      <c r="C94" s="146"/>
      <c r="D94" s="151" t="s">
        <v>315</v>
      </c>
      <c r="E94" s="129">
        <v>24977300</v>
      </c>
      <c r="F94" s="83">
        <f t="shared" si="4"/>
        <v>0</v>
      </c>
      <c r="G94" s="130">
        <v>24977300</v>
      </c>
      <c r="H94" s="131">
        <f t="shared" si="5"/>
        <v>0</v>
      </c>
      <c r="I94" s="130">
        <v>24977300</v>
      </c>
      <c r="J94" s="91">
        <v>0</v>
      </c>
      <c r="K94" s="83">
        <f t="shared" si="6"/>
        <v>0</v>
      </c>
      <c r="L94" s="91">
        <v>0</v>
      </c>
      <c r="M94" s="92"/>
      <c r="N94" s="91">
        <v>0</v>
      </c>
      <c r="O94" s="83">
        <f t="shared" si="7"/>
        <v>0</v>
      </c>
      <c r="P94" s="91">
        <v>0</v>
      </c>
    </row>
    <row r="95" spans="1:16" s="156" customFormat="1" ht="38.25" customHeight="1" x14ac:dyDescent="0.25">
      <c r="A95" s="78" t="s">
        <v>316</v>
      </c>
      <c r="B95" s="79" t="s">
        <v>317</v>
      </c>
      <c r="C95" s="79"/>
      <c r="D95" s="79"/>
      <c r="E95" s="80">
        <f>E96+E97+E106+E111+E112+E116+E117+E114+E115+E113</f>
        <v>1178623323.6800001</v>
      </c>
      <c r="F95" s="81">
        <f t="shared" si="4"/>
        <v>30909232.900000095</v>
      </c>
      <c r="G95" s="157">
        <f>G96+G97+G106+G111+G112+G116+G117+G114+G115+G113+G110</f>
        <v>1211032556.5800002</v>
      </c>
      <c r="H95" s="81">
        <f t="shared" si="5"/>
        <v>-1500000</v>
      </c>
      <c r="I95" s="158">
        <f>I96+I97+I106+I111+I112+I116+I117+I114+I115+I113+I110</f>
        <v>1209532556.5800002</v>
      </c>
      <c r="J95" s="120">
        <f>J96+J97+J106+J111+J112+J116+J117+J114+J115+J113+J110</f>
        <v>1147331389.2</v>
      </c>
      <c r="K95" s="83">
        <f t="shared" si="6"/>
        <v>0</v>
      </c>
      <c r="L95" s="102">
        <f>L96+L97+L106+L111+L112+L116+L117+L114+L115+L113+L110</f>
        <v>1147331389.2</v>
      </c>
      <c r="M95" s="84" t="e">
        <f>#REF!-#REF!</f>
        <v>#REF!</v>
      </c>
      <c r="N95" s="120">
        <f>N96+N97+N106+N111+N112+N116+N117+N114+N115+N113+N110</f>
        <v>1297782234.3399999</v>
      </c>
      <c r="O95" s="83">
        <f t="shared" si="7"/>
        <v>0</v>
      </c>
      <c r="P95" s="102">
        <f>P96+P97+P106+P111+P112+P116+P117+P114+P115+P113+P110</f>
        <v>1297782234.3399999</v>
      </c>
    </row>
    <row r="96" spans="1:16" s="66" customFormat="1" ht="38.25" customHeight="1" x14ac:dyDescent="0.25">
      <c r="A96" s="87" t="s">
        <v>318</v>
      </c>
      <c r="B96" s="118" t="s">
        <v>319</v>
      </c>
      <c r="C96" s="89" t="s">
        <v>320</v>
      </c>
      <c r="D96" s="89" t="s">
        <v>321</v>
      </c>
      <c r="E96" s="129">
        <v>573240</v>
      </c>
      <c r="F96" s="83">
        <f t="shared" si="4"/>
        <v>6766</v>
      </c>
      <c r="G96" s="134">
        <f>573240+20300-13534</f>
        <v>580006</v>
      </c>
      <c r="H96" s="131">
        <f t="shared" si="5"/>
        <v>0</v>
      </c>
      <c r="I96" s="134">
        <f>573240+20300-13534</f>
        <v>580006</v>
      </c>
      <c r="J96" s="134">
        <v>573240</v>
      </c>
      <c r="K96" s="126">
        <f t="shared" si="6"/>
        <v>0</v>
      </c>
      <c r="L96" s="134">
        <v>573240</v>
      </c>
      <c r="M96" s="135" t="e">
        <f>#REF!-#REF!</f>
        <v>#REF!</v>
      </c>
      <c r="N96" s="134">
        <v>573240</v>
      </c>
      <c r="O96" s="126">
        <f t="shared" si="7"/>
        <v>0</v>
      </c>
      <c r="P96" s="134">
        <v>573240</v>
      </c>
    </row>
    <row r="97" spans="1:16" s="66" customFormat="1" ht="30" customHeight="1" x14ac:dyDescent="0.25">
      <c r="A97" s="87" t="s">
        <v>318</v>
      </c>
      <c r="B97" s="89" t="s">
        <v>322</v>
      </c>
      <c r="C97" s="89"/>
      <c r="D97" s="89"/>
      <c r="E97" s="90">
        <f>SUM(E98:E105)</f>
        <v>886080042.5</v>
      </c>
      <c r="F97" s="81">
        <f t="shared" si="4"/>
        <v>9438066.9000000954</v>
      </c>
      <c r="G97" s="128">
        <f>SUM(G98:G105)</f>
        <v>895518109.4000001</v>
      </c>
      <c r="H97" s="81">
        <f t="shared" si="5"/>
        <v>0</v>
      </c>
      <c r="I97" s="107">
        <f>SUM(I98:I105)</f>
        <v>895518109.4000001</v>
      </c>
      <c r="J97" s="91">
        <f>SUM(J98:J105)</f>
        <v>959516542.5</v>
      </c>
      <c r="K97" s="83">
        <f t="shared" si="6"/>
        <v>0</v>
      </c>
      <c r="L97" s="91">
        <f>SUM(L98:L105)</f>
        <v>959516542.5</v>
      </c>
      <c r="M97" s="92" t="e">
        <f>#REF!-#REF!</f>
        <v>#REF!</v>
      </c>
      <c r="N97" s="91">
        <f>SUM(N98:N105)</f>
        <v>1036722042.5</v>
      </c>
      <c r="O97" s="83">
        <f t="shared" si="7"/>
        <v>0</v>
      </c>
      <c r="P97" s="91">
        <f>SUM(P98:P105)</f>
        <v>1036722042.5</v>
      </c>
    </row>
    <row r="98" spans="1:16" s="66" customFormat="1" ht="29.45" customHeight="1" x14ac:dyDescent="0.25">
      <c r="A98" s="87"/>
      <c r="B98" s="118" t="s">
        <v>323</v>
      </c>
      <c r="C98" s="89" t="s">
        <v>324</v>
      </c>
      <c r="D98" s="89" t="s">
        <v>325</v>
      </c>
      <c r="E98" s="129">
        <v>467904700</v>
      </c>
      <c r="F98" s="83">
        <f t="shared" si="4"/>
        <v>9709200</v>
      </c>
      <c r="G98" s="134">
        <f>467904700+9709200</f>
        <v>477613900</v>
      </c>
      <c r="H98" s="131">
        <f t="shared" si="5"/>
        <v>0</v>
      </c>
      <c r="I98" s="134">
        <f>467904700+9709200</f>
        <v>477613900</v>
      </c>
      <c r="J98" s="134">
        <v>514030900</v>
      </c>
      <c r="K98" s="126">
        <f t="shared" si="6"/>
        <v>0</v>
      </c>
      <c r="L98" s="134">
        <v>514030900</v>
      </c>
      <c r="M98" s="135" t="e">
        <f>#REF!-#REF!</f>
        <v>#REF!</v>
      </c>
      <c r="N98" s="134">
        <v>556021300</v>
      </c>
      <c r="O98" s="126">
        <f t="shared" si="7"/>
        <v>0</v>
      </c>
      <c r="P98" s="134">
        <v>556021300</v>
      </c>
    </row>
    <row r="99" spans="1:16" s="66" customFormat="1" ht="31.5" x14ac:dyDescent="0.25">
      <c r="A99" s="87"/>
      <c r="B99" s="118" t="s">
        <v>326</v>
      </c>
      <c r="C99" s="89" t="s">
        <v>327</v>
      </c>
      <c r="D99" s="89" t="s">
        <v>328</v>
      </c>
      <c r="E99" s="129">
        <v>177921200</v>
      </c>
      <c r="F99" s="83">
        <f t="shared" si="4"/>
        <v>-242300</v>
      </c>
      <c r="G99" s="134">
        <f>177921200-242300</f>
        <v>177678900</v>
      </c>
      <c r="H99" s="131">
        <f t="shared" si="5"/>
        <v>0</v>
      </c>
      <c r="I99" s="134">
        <f>177921200-242300</f>
        <v>177678900</v>
      </c>
      <c r="J99" s="134">
        <v>193855500</v>
      </c>
      <c r="K99" s="126">
        <f t="shared" si="6"/>
        <v>0</v>
      </c>
      <c r="L99" s="134">
        <v>193855500</v>
      </c>
      <c r="M99" s="135" t="e">
        <f>#REF!-#REF!</f>
        <v>#REF!</v>
      </c>
      <c r="N99" s="134">
        <v>211359500</v>
      </c>
      <c r="O99" s="126">
        <f t="shared" si="7"/>
        <v>0</v>
      </c>
      <c r="P99" s="134">
        <v>211359500</v>
      </c>
    </row>
    <row r="100" spans="1:16" s="66" customFormat="1" ht="31.5" x14ac:dyDescent="0.25">
      <c r="A100" s="87"/>
      <c r="B100" s="118" t="s">
        <v>329</v>
      </c>
      <c r="C100" s="89" t="s">
        <v>330</v>
      </c>
      <c r="D100" s="89" t="s">
        <v>331</v>
      </c>
      <c r="E100" s="129">
        <v>2322000</v>
      </c>
      <c r="F100" s="83">
        <f t="shared" si="4"/>
        <v>25700</v>
      </c>
      <c r="G100" s="134">
        <f>2322000+77100-51400</f>
        <v>2347700</v>
      </c>
      <c r="H100" s="131">
        <f t="shared" si="5"/>
        <v>0</v>
      </c>
      <c r="I100" s="134">
        <f>2322000+77100-51400</f>
        <v>2347700</v>
      </c>
      <c r="J100" s="134">
        <v>1879000</v>
      </c>
      <c r="K100" s="126">
        <f t="shared" si="6"/>
        <v>0</v>
      </c>
      <c r="L100" s="134">
        <v>1879000</v>
      </c>
      <c r="M100" s="135" t="e">
        <f>#REF!-#REF!</f>
        <v>#REF!</v>
      </c>
      <c r="N100" s="134">
        <v>1879000</v>
      </c>
      <c r="O100" s="126">
        <f t="shared" si="7"/>
        <v>0</v>
      </c>
      <c r="P100" s="134">
        <v>1879000</v>
      </c>
    </row>
    <row r="101" spans="1:16" s="66" customFormat="1" ht="31.5" x14ac:dyDescent="0.25">
      <c r="A101" s="87"/>
      <c r="B101" s="118" t="s">
        <v>332</v>
      </c>
      <c r="C101" s="89" t="s">
        <v>333</v>
      </c>
      <c r="D101" s="89" t="s">
        <v>334</v>
      </c>
      <c r="E101" s="129">
        <f>32384500+1006500</f>
        <v>33391000</v>
      </c>
      <c r="F101" s="83">
        <f t="shared" si="4"/>
        <v>0</v>
      </c>
      <c r="G101" s="134">
        <f>32384500+1006500</f>
        <v>33391000</v>
      </c>
      <c r="H101" s="131">
        <f t="shared" si="5"/>
        <v>0</v>
      </c>
      <c r="I101" s="134">
        <f>32384500+1006500</f>
        <v>33391000</v>
      </c>
      <c r="J101" s="134">
        <v>32384500</v>
      </c>
      <c r="K101" s="126">
        <f t="shared" si="6"/>
        <v>0</v>
      </c>
      <c r="L101" s="134">
        <v>32384500</v>
      </c>
      <c r="M101" s="135" t="e">
        <f>#REF!-#REF!</f>
        <v>#REF!</v>
      </c>
      <c r="N101" s="134">
        <v>32384500</v>
      </c>
      <c r="O101" s="126">
        <f t="shared" si="7"/>
        <v>0</v>
      </c>
      <c r="P101" s="134">
        <v>32384500</v>
      </c>
    </row>
    <row r="102" spans="1:16" s="66" customFormat="1" ht="60" x14ac:dyDescent="0.25">
      <c r="A102" s="87"/>
      <c r="B102" s="118" t="s">
        <v>335</v>
      </c>
      <c r="C102" s="89" t="s">
        <v>336</v>
      </c>
      <c r="D102" s="89" t="s">
        <v>337</v>
      </c>
      <c r="E102" s="129">
        <v>112410500</v>
      </c>
      <c r="F102" s="83">
        <f t="shared" si="4"/>
        <v>256100</v>
      </c>
      <c r="G102" s="134">
        <f>112410500+256100</f>
        <v>112666600</v>
      </c>
      <c r="H102" s="131">
        <f t="shared" si="5"/>
        <v>0</v>
      </c>
      <c r="I102" s="134">
        <f>112410500+256100</f>
        <v>112666600</v>
      </c>
      <c r="J102" s="134">
        <v>117830800</v>
      </c>
      <c r="K102" s="126">
        <f t="shared" si="6"/>
        <v>0</v>
      </c>
      <c r="L102" s="134">
        <v>117830800</v>
      </c>
      <c r="M102" s="135" t="e">
        <f>#REF!-#REF!</f>
        <v>#REF!</v>
      </c>
      <c r="N102" s="134">
        <v>127081000</v>
      </c>
      <c r="O102" s="126">
        <f t="shared" si="7"/>
        <v>0</v>
      </c>
      <c r="P102" s="134">
        <v>127081000</v>
      </c>
    </row>
    <row r="103" spans="1:16" s="66" customFormat="1" ht="35.25" customHeight="1" x14ac:dyDescent="0.25">
      <c r="A103" s="87"/>
      <c r="B103" s="118" t="s">
        <v>338</v>
      </c>
      <c r="C103" s="89" t="s">
        <v>339</v>
      </c>
      <c r="D103" s="89" t="s">
        <v>340</v>
      </c>
      <c r="E103" s="140">
        <v>91955100</v>
      </c>
      <c r="F103" s="81">
        <f t="shared" si="4"/>
        <v>-312800</v>
      </c>
      <c r="G103" s="107">
        <f>91955100-218500-94300</f>
        <v>91642300</v>
      </c>
      <c r="H103" s="81">
        <f t="shared" si="5"/>
        <v>0</v>
      </c>
      <c r="I103" s="91">
        <f>91955100-218500-94300</f>
        <v>91642300</v>
      </c>
      <c r="J103" s="134">
        <v>99360300</v>
      </c>
      <c r="K103" s="126">
        <f t="shared" si="6"/>
        <v>0</v>
      </c>
      <c r="L103" s="134">
        <v>99360300</v>
      </c>
      <c r="M103" s="135" t="e">
        <f>#REF!-#REF!</f>
        <v>#REF!</v>
      </c>
      <c r="N103" s="134">
        <v>107821200</v>
      </c>
      <c r="O103" s="126">
        <f t="shared" si="7"/>
        <v>0</v>
      </c>
      <c r="P103" s="134">
        <v>107821200</v>
      </c>
    </row>
    <row r="104" spans="1:16" s="66" customFormat="1" ht="51" customHeight="1" x14ac:dyDescent="0.25">
      <c r="A104" s="87"/>
      <c r="B104" s="118" t="s">
        <v>341</v>
      </c>
      <c r="C104" s="89" t="s">
        <v>342</v>
      </c>
      <c r="D104" s="89" t="s">
        <v>343</v>
      </c>
      <c r="E104" s="129">
        <v>165280</v>
      </c>
      <c r="F104" s="83">
        <f t="shared" si="4"/>
        <v>2024.2000000000116</v>
      </c>
      <c r="G104" s="134">
        <f>165280+6071-4046.8</f>
        <v>167304.20000000001</v>
      </c>
      <c r="H104" s="131">
        <f t="shared" si="5"/>
        <v>0</v>
      </c>
      <c r="I104" s="134">
        <f>165280+6071-4046.8</f>
        <v>167304.20000000001</v>
      </c>
      <c r="J104" s="134">
        <v>165280</v>
      </c>
      <c r="K104" s="126">
        <f t="shared" si="6"/>
        <v>0</v>
      </c>
      <c r="L104" s="134">
        <v>165280</v>
      </c>
      <c r="M104" s="135" t="e">
        <f>#REF!-#REF!</f>
        <v>#REF!</v>
      </c>
      <c r="N104" s="134">
        <v>165280</v>
      </c>
      <c r="O104" s="126">
        <f t="shared" si="7"/>
        <v>0</v>
      </c>
      <c r="P104" s="134">
        <v>165280</v>
      </c>
    </row>
    <row r="105" spans="1:16" s="66" customFormat="1" ht="29.25" customHeight="1" x14ac:dyDescent="0.25">
      <c r="A105" s="87"/>
      <c r="B105" s="118" t="s">
        <v>344</v>
      </c>
      <c r="C105" s="89" t="s">
        <v>345</v>
      </c>
      <c r="D105" s="89" t="s">
        <v>346</v>
      </c>
      <c r="E105" s="129">
        <v>10262.5</v>
      </c>
      <c r="F105" s="83">
        <f t="shared" si="4"/>
        <v>142.70000000000073</v>
      </c>
      <c r="G105" s="134">
        <f>10262.5+426-283.3</f>
        <v>10405.200000000001</v>
      </c>
      <c r="H105" s="131">
        <f t="shared" si="5"/>
        <v>0</v>
      </c>
      <c r="I105" s="134">
        <f>10262.5+426-283.3</f>
        <v>10405.200000000001</v>
      </c>
      <c r="J105" s="134">
        <v>10262.5</v>
      </c>
      <c r="K105" s="126">
        <f t="shared" si="6"/>
        <v>0</v>
      </c>
      <c r="L105" s="134">
        <v>10262.5</v>
      </c>
      <c r="M105" s="135" t="e">
        <f>#REF!-#REF!</f>
        <v>#REF!</v>
      </c>
      <c r="N105" s="134">
        <v>10262.5</v>
      </c>
      <c r="O105" s="126">
        <f t="shared" si="7"/>
        <v>0</v>
      </c>
      <c r="P105" s="134">
        <v>10262.5</v>
      </c>
    </row>
    <row r="106" spans="1:16" s="66" customFormat="1" ht="51.75" customHeight="1" x14ac:dyDescent="0.25">
      <c r="A106" s="87" t="s">
        <v>318</v>
      </c>
      <c r="B106" s="118" t="s">
        <v>347</v>
      </c>
      <c r="C106" s="89" t="s">
        <v>348</v>
      </c>
      <c r="D106" s="89" t="s">
        <v>349</v>
      </c>
      <c r="E106" s="129">
        <v>53025700</v>
      </c>
      <c r="F106" s="83">
        <f t="shared" si="4"/>
        <v>-683400</v>
      </c>
      <c r="G106" s="134">
        <f>53025700-683400</f>
        <v>52342300</v>
      </c>
      <c r="H106" s="131">
        <f t="shared" si="5"/>
        <v>0</v>
      </c>
      <c r="I106" s="134">
        <f>53025700-683400</f>
        <v>52342300</v>
      </c>
      <c r="J106" s="134">
        <v>57236000</v>
      </c>
      <c r="K106" s="126">
        <f t="shared" si="6"/>
        <v>0</v>
      </c>
      <c r="L106" s="134">
        <v>57236000</v>
      </c>
      <c r="M106" s="135" t="e">
        <f>#REF!-#REF!</f>
        <v>#REF!</v>
      </c>
      <c r="N106" s="134">
        <v>59160400</v>
      </c>
      <c r="O106" s="126">
        <f t="shared" si="7"/>
        <v>0</v>
      </c>
      <c r="P106" s="134">
        <v>59160400</v>
      </c>
    </row>
    <row r="107" spans="1:16" s="66" customFormat="1" ht="0.75" customHeight="1" x14ac:dyDescent="0.25">
      <c r="A107" s="87"/>
      <c r="B107" s="89" t="s">
        <v>350</v>
      </c>
      <c r="C107" s="89"/>
      <c r="D107" s="89"/>
      <c r="E107" s="90"/>
      <c r="F107" s="81">
        <f t="shared" si="4"/>
        <v>0</v>
      </c>
      <c r="G107" s="107"/>
      <c r="H107" s="81">
        <f t="shared" si="5"/>
        <v>0</v>
      </c>
      <c r="I107" s="107"/>
      <c r="J107" s="91"/>
      <c r="K107" s="83">
        <f t="shared" si="6"/>
        <v>0</v>
      </c>
      <c r="L107" s="91"/>
      <c r="M107" s="92"/>
      <c r="N107" s="91"/>
      <c r="O107" s="83">
        <f t="shared" si="7"/>
        <v>0</v>
      </c>
      <c r="P107" s="91"/>
    </row>
    <row r="108" spans="1:16" s="66" customFormat="1" ht="0.75" customHeight="1" x14ac:dyDescent="0.25">
      <c r="A108" s="87"/>
      <c r="B108" s="89" t="s">
        <v>351</v>
      </c>
      <c r="C108" s="89"/>
      <c r="D108" s="89"/>
      <c r="E108" s="90"/>
      <c r="F108" s="81">
        <f t="shared" si="4"/>
        <v>0</v>
      </c>
      <c r="G108" s="107"/>
      <c r="H108" s="81">
        <f t="shared" si="5"/>
        <v>0</v>
      </c>
      <c r="I108" s="107"/>
      <c r="J108" s="91"/>
      <c r="K108" s="83">
        <f t="shared" si="6"/>
        <v>0</v>
      </c>
      <c r="L108" s="91"/>
      <c r="M108" s="92"/>
      <c r="N108" s="91"/>
      <c r="O108" s="83">
        <f t="shared" si="7"/>
        <v>0</v>
      </c>
      <c r="P108" s="91"/>
    </row>
    <row r="109" spans="1:16" s="66" customFormat="1" ht="0.75" customHeight="1" x14ac:dyDescent="0.25">
      <c r="A109" s="87"/>
      <c r="B109" s="89" t="s">
        <v>352</v>
      </c>
      <c r="C109" s="89"/>
      <c r="D109" s="89"/>
      <c r="E109" s="90"/>
      <c r="F109" s="81">
        <f t="shared" si="4"/>
        <v>0</v>
      </c>
      <c r="G109" s="107"/>
      <c r="H109" s="81">
        <f t="shared" si="5"/>
        <v>0</v>
      </c>
      <c r="I109" s="107"/>
      <c r="J109" s="91"/>
      <c r="K109" s="83">
        <f t="shared" si="6"/>
        <v>0</v>
      </c>
      <c r="L109" s="91"/>
      <c r="M109" s="92"/>
      <c r="N109" s="91"/>
      <c r="O109" s="83">
        <f t="shared" si="7"/>
        <v>0</v>
      </c>
      <c r="P109" s="91"/>
    </row>
    <row r="110" spans="1:16" s="66" customFormat="1" ht="84" customHeight="1" x14ac:dyDescent="0.25">
      <c r="A110" s="87"/>
      <c r="B110" s="118" t="s">
        <v>353</v>
      </c>
      <c r="C110" s="89"/>
      <c r="D110" s="89"/>
      <c r="E110" s="90"/>
      <c r="F110" s="81">
        <f t="shared" si="4"/>
        <v>23587100</v>
      </c>
      <c r="G110" s="128">
        <f>23587100</f>
        <v>23587100</v>
      </c>
      <c r="H110" s="81">
        <f t="shared" si="5"/>
        <v>0</v>
      </c>
      <c r="I110" s="107">
        <f>23587100</f>
        <v>23587100</v>
      </c>
      <c r="J110" s="91">
        <v>594700</v>
      </c>
      <c r="K110" s="83">
        <f t="shared" si="6"/>
        <v>0</v>
      </c>
      <c r="L110" s="91">
        <v>594700</v>
      </c>
      <c r="M110" s="92"/>
      <c r="N110" s="91">
        <v>16354500</v>
      </c>
      <c r="O110" s="83">
        <f t="shared" si="7"/>
        <v>0</v>
      </c>
      <c r="P110" s="91">
        <v>16354500</v>
      </c>
    </row>
    <row r="111" spans="1:16" s="66" customFormat="1" ht="27" customHeight="1" x14ac:dyDescent="0.25">
      <c r="A111" s="87" t="s">
        <v>318</v>
      </c>
      <c r="B111" s="118" t="s">
        <v>354</v>
      </c>
      <c r="C111" s="89" t="s">
        <v>355</v>
      </c>
      <c r="D111" s="89" t="s">
        <v>356</v>
      </c>
      <c r="E111" s="129">
        <v>2424100</v>
      </c>
      <c r="F111" s="83">
        <f t="shared" si="4"/>
        <v>0</v>
      </c>
      <c r="G111" s="134">
        <v>2424100</v>
      </c>
      <c r="H111" s="131">
        <f t="shared" si="5"/>
        <v>0</v>
      </c>
      <c r="I111" s="134">
        <v>2424100</v>
      </c>
      <c r="J111" s="134">
        <v>2424100</v>
      </c>
      <c r="K111" s="126">
        <f t="shared" si="6"/>
        <v>0</v>
      </c>
      <c r="L111" s="134">
        <v>2424100</v>
      </c>
      <c r="M111" s="135" t="e">
        <f>#REF!-#REF!</f>
        <v>#REF!</v>
      </c>
      <c r="N111" s="134">
        <v>2424100</v>
      </c>
      <c r="O111" s="126">
        <f t="shared" si="7"/>
        <v>0</v>
      </c>
      <c r="P111" s="134">
        <v>2424100</v>
      </c>
    </row>
    <row r="112" spans="1:16" s="66" customFormat="1" ht="28.5" customHeight="1" x14ac:dyDescent="0.25">
      <c r="A112" s="87" t="s">
        <v>318</v>
      </c>
      <c r="B112" s="118" t="s">
        <v>357</v>
      </c>
      <c r="C112" s="89" t="s">
        <v>358</v>
      </c>
      <c r="D112" s="89" t="s">
        <v>359</v>
      </c>
      <c r="E112" s="140">
        <v>145095100</v>
      </c>
      <c r="F112" s="81">
        <f t="shared" si="4"/>
        <v>0</v>
      </c>
      <c r="G112" s="128">
        <v>145095100</v>
      </c>
      <c r="H112" s="81">
        <f t="shared" si="5"/>
        <v>0</v>
      </c>
      <c r="I112" s="107">
        <v>145095100</v>
      </c>
      <c r="J112" s="91">
        <v>102084300</v>
      </c>
      <c r="K112" s="83">
        <f t="shared" si="6"/>
        <v>0</v>
      </c>
      <c r="L112" s="91">
        <v>102084300</v>
      </c>
      <c r="M112" s="92" t="e">
        <f>#REF!-#REF!</f>
        <v>#REF!</v>
      </c>
      <c r="N112" s="91">
        <v>110415800</v>
      </c>
      <c r="O112" s="83">
        <f t="shared" si="7"/>
        <v>0</v>
      </c>
      <c r="P112" s="91">
        <v>110415800</v>
      </c>
    </row>
    <row r="113" spans="1:16" s="66" customFormat="1" ht="48" customHeight="1" x14ac:dyDescent="0.25">
      <c r="A113" s="87" t="s">
        <v>318</v>
      </c>
      <c r="B113" s="118" t="s">
        <v>360</v>
      </c>
      <c r="C113" s="89" t="s">
        <v>361</v>
      </c>
      <c r="D113" s="89" t="s">
        <v>362</v>
      </c>
      <c r="E113" s="129">
        <v>2000000</v>
      </c>
      <c r="F113" s="83">
        <f t="shared" si="4"/>
        <v>-1500000</v>
      </c>
      <c r="G113" s="134">
        <v>2000000</v>
      </c>
      <c r="H113" s="131">
        <f t="shared" si="5"/>
        <v>-1500000</v>
      </c>
      <c r="I113" s="134">
        <f>2000000-1500000</f>
        <v>500000</v>
      </c>
      <c r="J113" s="134">
        <v>2000000</v>
      </c>
      <c r="K113" s="126">
        <f t="shared" si="6"/>
        <v>0</v>
      </c>
      <c r="L113" s="134">
        <v>2000000</v>
      </c>
      <c r="M113" s="135" t="e">
        <f>#REF!-#REF!</f>
        <v>#REF!</v>
      </c>
      <c r="N113" s="134">
        <v>2000000</v>
      </c>
      <c r="O113" s="126">
        <f t="shared" si="7"/>
        <v>0</v>
      </c>
      <c r="P113" s="134">
        <v>2000000</v>
      </c>
    </row>
    <row r="114" spans="1:16" s="66" customFormat="1" ht="39" customHeight="1" x14ac:dyDescent="0.25">
      <c r="A114" s="87" t="s">
        <v>363</v>
      </c>
      <c r="B114" s="118" t="s">
        <v>364</v>
      </c>
      <c r="C114" s="89" t="s">
        <v>365</v>
      </c>
      <c r="D114" s="89" t="s">
        <v>366</v>
      </c>
      <c r="E114" s="129">
        <v>86631800</v>
      </c>
      <c r="F114" s="83">
        <f t="shared" si="4"/>
        <v>-7823422</v>
      </c>
      <c r="G114" s="134">
        <f>86631800-7865022+41600</f>
        <v>78808378</v>
      </c>
      <c r="H114" s="131">
        <f t="shared" si="5"/>
        <v>0</v>
      </c>
      <c r="I114" s="134">
        <f>86631800-7865022+41600</f>
        <v>78808378</v>
      </c>
      <c r="J114" s="134">
        <v>19779100</v>
      </c>
      <c r="K114" s="126">
        <f t="shared" si="6"/>
        <v>0</v>
      </c>
      <c r="L114" s="134">
        <v>19779100</v>
      </c>
      <c r="M114" s="135" t="e">
        <f>#REF!-#REF!</f>
        <v>#REF!</v>
      </c>
      <c r="N114" s="134">
        <v>66969200</v>
      </c>
      <c r="O114" s="126">
        <f t="shared" si="7"/>
        <v>0</v>
      </c>
      <c r="P114" s="134">
        <v>66969200</v>
      </c>
    </row>
    <row r="115" spans="1:16" s="66" customFormat="1" ht="47.25" customHeight="1" x14ac:dyDescent="0.25">
      <c r="A115" s="87" t="s">
        <v>363</v>
      </c>
      <c r="B115" s="118" t="s">
        <v>367</v>
      </c>
      <c r="C115" s="89" t="s">
        <v>368</v>
      </c>
      <c r="D115" s="89" t="s">
        <v>369</v>
      </c>
      <c r="E115" s="90"/>
      <c r="F115" s="81">
        <f t="shared" si="4"/>
        <v>7865022</v>
      </c>
      <c r="G115" s="128">
        <v>7865022</v>
      </c>
      <c r="H115" s="81">
        <f t="shared" si="5"/>
        <v>0</v>
      </c>
      <c r="I115" s="107">
        <v>7865022</v>
      </c>
      <c r="J115" s="91"/>
      <c r="K115" s="83">
        <f t="shared" si="6"/>
        <v>0</v>
      </c>
      <c r="L115" s="91"/>
      <c r="M115" s="92"/>
      <c r="N115" s="91"/>
      <c r="O115" s="83">
        <f t="shared" si="7"/>
        <v>0</v>
      </c>
      <c r="P115" s="91"/>
    </row>
    <row r="116" spans="1:16" s="66" customFormat="1" ht="35.25" customHeight="1" x14ac:dyDescent="0.25">
      <c r="A116" s="87" t="s">
        <v>370</v>
      </c>
      <c r="B116" s="118" t="s">
        <v>371</v>
      </c>
      <c r="C116" s="159" t="s">
        <v>372</v>
      </c>
      <c r="D116" s="159" t="s">
        <v>373</v>
      </c>
      <c r="E116" s="129">
        <f>2661680+118160</f>
        <v>2779840</v>
      </c>
      <c r="F116" s="83">
        <f t="shared" si="4"/>
        <v>19100</v>
      </c>
      <c r="G116" s="134">
        <f>2661680+118160+19100</f>
        <v>2798940</v>
      </c>
      <c r="H116" s="131">
        <f t="shared" si="5"/>
        <v>0</v>
      </c>
      <c r="I116" s="134">
        <f>2661680+118160+19100</f>
        <v>2798940</v>
      </c>
      <c r="J116" s="134">
        <f>2925720+115080</f>
        <v>3040800</v>
      </c>
      <c r="K116" s="126">
        <f t="shared" si="6"/>
        <v>0</v>
      </c>
      <c r="L116" s="134">
        <f>2925720+115080</f>
        <v>3040800</v>
      </c>
      <c r="M116" s="135" t="e">
        <f>#REF!-#REF!</f>
        <v>#REF!</v>
      </c>
      <c r="N116" s="134">
        <f>3034640+115360</f>
        <v>3150000</v>
      </c>
      <c r="O116" s="126">
        <f t="shared" si="7"/>
        <v>0</v>
      </c>
      <c r="P116" s="134">
        <f>3034640+115360</f>
        <v>3150000</v>
      </c>
    </row>
    <row r="117" spans="1:16" s="66" customFormat="1" ht="41.25" customHeight="1" x14ac:dyDescent="0.25">
      <c r="A117" s="87" t="s">
        <v>374</v>
      </c>
      <c r="B117" s="118" t="s">
        <v>375</v>
      </c>
      <c r="C117" s="119" t="s">
        <v>376</v>
      </c>
      <c r="D117" s="119" t="s">
        <v>377</v>
      </c>
      <c r="E117" s="129">
        <v>13501.18</v>
      </c>
      <c r="F117" s="83">
        <f t="shared" si="4"/>
        <v>0</v>
      </c>
      <c r="G117" s="134">
        <v>13501.18</v>
      </c>
      <c r="H117" s="131">
        <f t="shared" si="5"/>
        <v>0</v>
      </c>
      <c r="I117" s="134">
        <v>13501.18</v>
      </c>
      <c r="J117" s="134">
        <v>82606.7</v>
      </c>
      <c r="K117" s="126">
        <f t="shared" si="6"/>
        <v>0</v>
      </c>
      <c r="L117" s="134">
        <v>82606.7</v>
      </c>
      <c r="M117" s="135" t="e">
        <f>#REF!-#REF!</f>
        <v>#REF!</v>
      </c>
      <c r="N117" s="134">
        <v>12951.84</v>
      </c>
      <c r="O117" s="126">
        <f t="shared" si="7"/>
        <v>0</v>
      </c>
      <c r="P117" s="134">
        <v>12951.84</v>
      </c>
    </row>
    <row r="118" spans="1:16" s="156" customFormat="1" x14ac:dyDescent="0.25">
      <c r="A118" s="78" t="s">
        <v>378</v>
      </c>
      <c r="B118" s="79" t="s">
        <v>379</v>
      </c>
      <c r="C118" s="79"/>
      <c r="D118" s="79"/>
      <c r="E118" s="80">
        <f>SUM(E119:E134)</f>
        <v>144762798.25</v>
      </c>
      <c r="F118" s="81">
        <f t="shared" si="4"/>
        <v>30524083.810000032</v>
      </c>
      <c r="G118" s="102">
        <f>SUM(G119:G134)</f>
        <v>175286882.06000003</v>
      </c>
      <c r="H118" s="81">
        <f t="shared" si="5"/>
        <v>0</v>
      </c>
      <c r="I118" s="102">
        <f>SUM(I119:I134)</f>
        <v>175286882.06000003</v>
      </c>
      <c r="J118" s="102">
        <f>SUM(J119:J134)</f>
        <v>128569814.48999999</v>
      </c>
      <c r="K118" s="83">
        <f t="shared" si="6"/>
        <v>0</v>
      </c>
      <c r="L118" s="102">
        <f>SUM(L119:L134)</f>
        <v>128569814.48999999</v>
      </c>
      <c r="M118" s="84" t="e">
        <f>#REF!-#REF!</f>
        <v>#REF!</v>
      </c>
      <c r="N118" s="102">
        <f>SUM(N119:N134)</f>
        <v>121011864.67999999</v>
      </c>
      <c r="O118" s="83">
        <f t="shared" si="7"/>
        <v>0</v>
      </c>
      <c r="P118" s="102">
        <f>SUM(P119:P134)</f>
        <v>121011864.67999999</v>
      </c>
    </row>
    <row r="119" spans="1:16" s="66" customFormat="1" ht="36" x14ac:dyDescent="0.25">
      <c r="A119" s="87" t="s">
        <v>380</v>
      </c>
      <c r="B119" s="118" t="s">
        <v>381</v>
      </c>
      <c r="C119" s="89" t="s">
        <v>382</v>
      </c>
      <c r="D119" s="89"/>
      <c r="E119" s="90">
        <f>60459349+668936.19</f>
        <v>61128285.189999998</v>
      </c>
      <c r="F119" s="81">
        <f t="shared" si="4"/>
        <v>22545586.850000009</v>
      </c>
      <c r="G119" s="128">
        <f>60459349+668936.19+343692.84+2499999.1+1843538.35+477215.53+1799993.22+10000+9044191.45+2444500+2835410.75+60000+15000+1172045.61</f>
        <v>83673872.040000007</v>
      </c>
      <c r="H119" s="81">
        <f t="shared" si="5"/>
        <v>0</v>
      </c>
      <c r="I119" s="107">
        <f>60459349+668936.19+343692.84+2499999.1+1843538.35+477215.53+1799993.22+10000+9044191.45+2444500+2835410.75+60000+15000+1172045.61</f>
        <v>83673872.040000007</v>
      </c>
      <c r="J119" s="128">
        <f>26753000+853724.33</f>
        <v>27606724.329999998</v>
      </c>
      <c r="K119" s="83">
        <f t="shared" si="6"/>
        <v>0</v>
      </c>
      <c r="L119" s="107">
        <f>26753000+853724.33</f>
        <v>27606724.329999998</v>
      </c>
      <c r="M119" s="92"/>
      <c r="N119" s="128">
        <f>36928000+853724.33</f>
        <v>37781724.329999998</v>
      </c>
      <c r="O119" s="83">
        <f t="shared" si="7"/>
        <v>0</v>
      </c>
      <c r="P119" s="107">
        <f>36928000+853724.33</f>
        <v>37781724.329999998</v>
      </c>
    </row>
    <row r="120" spans="1:16" s="66" customFormat="1" ht="67.5" customHeight="1" x14ac:dyDescent="0.25">
      <c r="A120" s="160" t="s">
        <v>383</v>
      </c>
      <c r="B120" s="161" t="s">
        <v>384</v>
      </c>
      <c r="C120" s="162" t="s">
        <v>385</v>
      </c>
      <c r="D120" s="162" t="s">
        <v>386</v>
      </c>
      <c r="E120" s="129">
        <f>2049400+48934400</f>
        <v>50983800</v>
      </c>
      <c r="F120" s="83">
        <f t="shared" si="4"/>
        <v>0</v>
      </c>
      <c r="G120" s="134">
        <f>2049400+48934400</f>
        <v>50983800</v>
      </c>
      <c r="H120" s="131">
        <f t="shared" si="5"/>
        <v>0</v>
      </c>
      <c r="I120" s="134">
        <f>2049400+48934400</f>
        <v>50983800</v>
      </c>
      <c r="J120" s="134">
        <f>2054600+48934400</f>
        <v>50989000</v>
      </c>
      <c r="K120" s="126">
        <f t="shared" si="6"/>
        <v>0</v>
      </c>
      <c r="L120" s="134">
        <f>2054600+48934400</f>
        <v>50989000</v>
      </c>
      <c r="M120" s="135" t="e">
        <f>#REF!-#REF!</f>
        <v>#REF!</v>
      </c>
      <c r="N120" s="134">
        <f>2054600+48934400</f>
        <v>50989000</v>
      </c>
      <c r="O120" s="126">
        <f t="shared" si="7"/>
        <v>0</v>
      </c>
      <c r="P120" s="134">
        <f>2054600+48934400</f>
        <v>50989000</v>
      </c>
    </row>
    <row r="121" spans="1:16" s="66" customFormat="1" ht="63" customHeight="1" x14ac:dyDescent="0.25">
      <c r="A121" s="87" t="s">
        <v>387</v>
      </c>
      <c r="B121" s="118" t="s">
        <v>388</v>
      </c>
      <c r="C121" s="89" t="s">
        <v>389</v>
      </c>
      <c r="D121" s="89" t="s">
        <v>390</v>
      </c>
      <c r="E121" s="129">
        <f>162000+5841480</f>
        <v>6003480</v>
      </c>
      <c r="F121" s="83">
        <f t="shared" si="4"/>
        <v>-4050500</v>
      </c>
      <c r="G121" s="134">
        <f>162000+5841480-4050500</f>
        <v>1952980</v>
      </c>
      <c r="H121" s="131">
        <f t="shared" si="5"/>
        <v>0</v>
      </c>
      <c r="I121" s="134">
        <f>162000+5841480-4050500</f>
        <v>1952980</v>
      </c>
      <c r="J121" s="134">
        <f>1174700+4828780-4050500</f>
        <v>1952980</v>
      </c>
      <c r="K121" s="126">
        <f t="shared" si="6"/>
        <v>0</v>
      </c>
      <c r="L121" s="134">
        <f>1174700+4828780-4050500</f>
        <v>1952980</v>
      </c>
      <c r="M121" s="135" t="e">
        <f>#REF!-#REF!</f>
        <v>#REF!</v>
      </c>
      <c r="N121" s="134">
        <f>1174700+4828780-4050500</f>
        <v>1952980</v>
      </c>
      <c r="O121" s="126">
        <f t="shared" si="7"/>
        <v>0</v>
      </c>
      <c r="P121" s="134">
        <f>1174700+4828780-4050500</f>
        <v>1952980</v>
      </c>
    </row>
    <row r="122" spans="1:16" s="66" customFormat="1" ht="63" customHeight="1" x14ac:dyDescent="0.25">
      <c r="A122" s="151" t="s">
        <v>391</v>
      </c>
      <c r="B122" s="152" t="s">
        <v>392</v>
      </c>
      <c r="C122" s="89"/>
      <c r="D122" s="151" t="s">
        <v>393</v>
      </c>
      <c r="E122" s="163">
        <f>78100-78100</f>
        <v>0</v>
      </c>
      <c r="F122" s="83">
        <f t="shared" si="4"/>
        <v>4050500</v>
      </c>
      <c r="G122" s="134">
        <v>4050500</v>
      </c>
      <c r="H122" s="131">
        <f t="shared" si="5"/>
        <v>0</v>
      </c>
      <c r="I122" s="134">
        <v>4050500</v>
      </c>
      <c r="J122" s="134">
        <v>4050500</v>
      </c>
      <c r="K122" s="126">
        <f t="shared" si="6"/>
        <v>0</v>
      </c>
      <c r="L122" s="134">
        <v>4050500</v>
      </c>
      <c r="M122" s="135"/>
      <c r="N122" s="134">
        <v>4050500</v>
      </c>
      <c r="O122" s="126">
        <f t="shared" si="7"/>
        <v>0</v>
      </c>
      <c r="P122" s="134">
        <v>4050500</v>
      </c>
    </row>
    <row r="123" spans="1:16" s="66" customFormat="1" ht="51.75" customHeight="1" x14ac:dyDescent="0.25">
      <c r="A123" s="87" t="s">
        <v>394</v>
      </c>
      <c r="B123" s="118" t="s">
        <v>395</v>
      </c>
      <c r="C123" s="89" t="s">
        <v>396</v>
      </c>
      <c r="D123" s="89" t="s">
        <v>397</v>
      </c>
      <c r="E123" s="140">
        <v>10006500</v>
      </c>
      <c r="F123" s="81">
        <f t="shared" si="4"/>
        <v>0</v>
      </c>
      <c r="G123" s="107">
        <v>10006500</v>
      </c>
      <c r="H123" s="81">
        <f t="shared" si="5"/>
        <v>0</v>
      </c>
      <c r="I123" s="107">
        <v>10006500</v>
      </c>
      <c r="J123" s="91">
        <v>14961400</v>
      </c>
      <c r="K123" s="83">
        <f t="shared" si="6"/>
        <v>0</v>
      </c>
      <c r="L123" s="91">
        <v>14961400</v>
      </c>
      <c r="M123" s="92"/>
      <c r="N123" s="91">
        <v>12962600</v>
      </c>
      <c r="O123" s="83">
        <f t="shared" si="7"/>
        <v>0</v>
      </c>
      <c r="P123" s="91">
        <v>12962600</v>
      </c>
    </row>
    <row r="124" spans="1:16" s="66" customFormat="1" ht="42" customHeight="1" x14ac:dyDescent="0.25">
      <c r="A124" s="87" t="s">
        <v>394</v>
      </c>
      <c r="B124" s="118" t="s">
        <v>398</v>
      </c>
      <c r="C124" s="89" t="s">
        <v>399</v>
      </c>
      <c r="D124" s="89" t="s">
        <v>400</v>
      </c>
      <c r="E124" s="90"/>
      <c r="F124" s="81">
        <f t="shared" si="4"/>
        <v>0</v>
      </c>
      <c r="G124" s="107"/>
      <c r="H124" s="81">
        <f t="shared" si="5"/>
        <v>0</v>
      </c>
      <c r="I124" s="107"/>
      <c r="J124" s="91"/>
      <c r="K124" s="83">
        <f t="shared" si="6"/>
        <v>0</v>
      </c>
      <c r="L124" s="91"/>
      <c r="M124" s="92"/>
      <c r="N124" s="91"/>
      <c r="O124" s="83">
        <f t="shared" si="7"/>
        <v>0</v>
      </c>
      <c r="P124" s="91"/>
    </row>
    <row r="125" spans="1:16" s="66" customFormat="1" ht="46.5" customHeight="1" x14ac:dyDescent="0.25">
      <c r="A125" s="87" t="s">
        <v>394</v>
      </c>
      <c r="B125" s="118" t="s">
        <v>401</v>
      </c>
      <c r="C125" s="89" t="s">
        <v>402</v>
      </c>
      <c r="D125" s="89" t="s">
        <v>403</v>
      </c>
      <c r="E125" s="90"/>
      <c r="F125" s="81">
        <f t="shared" si="4"/>
        <v>0</v>
      </c>
      <c r="G125" s="107"/>
      <c r="H125" s="81">
        <f t="shared" si="5"/>
        <v>0</v>
      </c>
      <c r="I125" s="107"/>
      <c r="J125" s="91"/>
      <c r="K125" s="83">
        <f t="shared" si="6"/>
        <v>0</v>
      </c>
      <c r="L125" s="91"/>
      <c r="M125" s="92"/>
      <c r="N125" s="91"/>
      <c r="O125" s="83">
        <f t="shared" si="7"/>
        <v>0</v>
      </c>
      <c r="P125" s="91"/>
    </row>
    <row r="126" spans="1:16" s="66" customFormat="1" ht="46.5" customHeight="1" x14ac:dyDescent="0.25">
      <c r="A126" s="87" t="s">
        <v>394</v>
      </c>
      <c r="B126" s="118" t="s">
        <v>404</v>
      </c>
      <c r="C126" s="89" t="s">
        <v>405</v>
      </c>
      <c r="D126" s="89" t="s">
        <v>406</v>
      </c>
      <c r="E126" s="90"/>
      <c r="F126" s="81">
        <f t="shared" si="4"/>
        <v>3406300</v>
      </c>
      <c r="G126" s="107">
        <v>3406300</v>
      </c>
      <c r="H126" s="81">
        <f t="shared" si="5"/>
        <v>0</v>
      </c>
      <c r="I126" s="107">
        <v>3406300</v>
      </c>
      <c r="J126" s="91"/>
      <c r="K126" s="83">
        <f t="shared" si="6"/>
        <v>0</v>
      </c>
      <c r="L126" s="91"/>
      <c r="M126" s="92"/>
      <c r="N126" s="91"/>
      <c r="O126" s="83">
        <f t="shared" si="7"/>
        <v>0</v>
      </c>
      <c r="P126" s="91"/>
    </row>
    <row r="127" spans="1:16" s="66" customFormat="1" ht="59.25" customHeight="1" x14ac:dyDescent="0.25">
      <c r="A127" s="87" t="s">
        <v>394</v>
      </c>
      <c r="B127" s="118" t="s">
        <v>407</v>
      </c>
      <c r="C127" s="89" t="s">
        <v>408</v>
      </c>
      <c r="D127" s="89" t="s">
        <v>409</v>
      </c>
      <c r="E127" s="140">
        <v>0</v>
      </c>
      <c r="F127" s="81">
        <f t="shared" si="4"/>
        <v>8946300</v>
      </c>
      <c r="G127" s="107">
        <v>8946300</v>
      </c>
      <c r="H127" s="81">
        <f t="shared" si="5"/>
        <v>0</v>
      </c>
      <c r="I127" s="91">
        <v>8946300</v>
      </c>
      <c r="J127" s="134">
        <v>13984000</v>
      </c>
      <c r="K127" s="126">
        <f t="shared" si="6"/>
        <v>0</v>
      </c>
      <c r="L127" s="134">
        <v>13984000</v>
      </c>
      <c r="M127" s="92" t="e">
        <f>#REF!-#REF!</f>
        <v>#REF!</v>
      </c>
      <c r="N127" s="91">
        <v>0</v>
      </c>
      <c r="O127" s="83">
        <f t="shared" si="7"/>
        <v>0</v>
      </c>
      <c r="P127" s="91">
        <v>0</v>
      </c>
    </row>
    <row r="128" spans="1:16" s="66" customFormat="1" ht="51.75" customHeight="1" x14ac:dyDescent="0.25">
      <c r="A128" s="87" t="s">
        <v>394</v>
      </c>
      <c r="B128" s="118" t="s">
        <v>410</v>
      </c>
      <c r="C128" s="89" t="s">
        <v>411</v>
      </c>
      <c r="D128" s="164" t="s">
        <v>412</v>
      </c>
      <c r="E128" s="129">
        <f>2541368.91-2541368.91</f>
        <v>0</v>
      </c>
      <c r="F128" s="83">
        <f t="shared" si="4"/>
        <v>0</v>
      </c>
      <c r="G128" s="134">
        <f>2541368.91-2541368.91</f>
        <v>0</v>
      </c>
      <c r="H128" s="131">
        <f t="shared" si="5"/>
        <v>0</v>
      </c>
      <c r="I128" s="134">
        <f>2541368.91-2541368.91</f>
        <v>0</v>
      </c>
      <c r="J128" s="134">
        <f>2352322.75-2352322.75</f>
        <v>0</v>
      </c>
      <c r="K128" s="126">
        <f t="shared" si="6"/>
        <v>0</v>
      </c>
      <c r="L128" s="134">
        <f>2352322.75-2352322.75</f>
        <v>0</v>
      </c>
      <c r="M128" s="135" t="e">
        <f>#REF!-#REF!</f>
        <v>#REF!</v>
      </c>
      <c r="N128" s="134">
        <f>2352322.75-2352322.75</f>
        <v>0</v>
      </c>
      <c r="O128" s="126">
        <f t="shared" si="7"/>
        <v>0</v>
      </c>
      <c r="P128" s="134">
        <f>2352322.75-2352322.75</f>
        <v>0</v>
      </c>
    </row>
    <row r="129" spans="1:16" s="66" customFormat="1" ht="36" customHeight="1" x14ac:dyDescent="0.25">
      <c r="A129" s="87" t="s">
        <v>394</v>
      </c>
      <c r="B129" s="118" t="s">
        <v>413</v>
      </c>
      <c r="C129" s="89" t="s">
        <v>414</v>
      </c>
      <c r="D129" s="89" t="s">
        <v>415</v>
      </c>
      <c r="E129" s="129">
        <f>1184751.84+773148.16</f>
        <v>1957900</v>
      </c>
      <c r="F129" s="83">
        <f t="shared" si="4"/>
        <v>745000</v>
      </c>
      <c r="G129" s="134">
        <f>1184751.84+773148.16+745000</f>
        <v>2702900</v>
      </c>
      <c r="H129" s="131">
        <f t="shared" si="5"/>
        <v>0</v>
      </c>
      <c r="I129" s="134">
        <f>1184751.84+773148.16+745000</f>
        <v>2702900</v>
      </c>
      <c r="J129" s="134">
        <f>1184751.84+773148.16</f>
        <v>1957900</v>
      </c>
      <c r="K129" s="126">
        <f t="shared" si="6"/>
        <v>0</v>
      </c>
      <c r="L129" s="134">
        <f>1184751.84+773148.16</f>
        <v>1957900</v>
      </c>
      <c r="M129" s="135" t="e">
        <f>#REF!-#REF!</f>
        <v>#REF!</v>
      </c>
      <c r="N129" s="134">
        <f>1184751.84+773148.16</f>
        <v>1957900</v>
      </c>
      <c r="O129" s="126">
        <f t="shared" si="7"/>
        <v>0</v>
      </c>
      <c r="P129" s="134">
        <f>1184751.84+773148.16</f>
        <v>1957900</v>
      </c>
    </row>
    <row r="130" spans="1:16" s="66" customFormat="1" ht="41.25" customHeight="1" x14ac:dyDescent="0.25">
      <c r="A130" s="87" t="s">
        <v>394</v>
      </c>
      <c r="B130" s="118" t="s">
        <v>416</v>
      </c>
      <c r="C130" s="89" t="s">
        <v>417</v>
      </c>
      <c r="D130" s="89" t="s">
        <v>418</v>
      </c>
      <c r="E130" s="90"/>
      <c r="F130" s="81">
        <f t="shared" si="4"/>
        <v>3046380.02</v>
      </c>
      <c r="G130" s="107">
        <f>2826380.02+220000</f>
        <v>3046380.02</v>
      </c>
      <c r="H130" s="81">
        <f t="shared" si="5"/>
        <v>0</v>
      </c>
      <c r="I130" s="107">
        <f>2826380.02+220000</f>
        <v>3046380.02</v>
      </c>
      <c r="J130" s="91"/>
      <c r="K130" s="83">
        <f t="shared" si="6"/>
        <v>0</v>
      </c>
      <c r="L130" s="91"/>
      <c r="M130" s="92" t="e">
        <f>#REF!-#REF!</f>
        <v>#REF!</v>
      </c>
      <c r="N130" s="91"/>
      <c r="O130" s="83">
        <f t="shared" si="7"/>
        <v>0</v>
      </c>
      <c r="P130" s="91"/>
    </row>
    <row r="131" spans="1:16" s="66" customFormat="1" ht="64.5" customHeight="1" x14ac:dyDescent="0.25">
      <c r="A131" s="87" t="s">
        <v>394</v>
      </c>
      <c r="B131" s="118" t="s">
        <v>419</v>
      </c>
      <c r="C131" s="89" t="s">
        <v>420</v>
      </c>
      <c r="D131" s="89" t="s">
        <v>421</v>
      </c>
      <c r="E131" s="140">
        <v>8500</v>
      </c>
      <c r="F131" s="81">
        <f t="shared" si="4"/>
        <v>0</v>
      </c>
      <c r="G131" s="128">
        <v>8500</v>
      </c>
      <c r="H131" s="81">
        <f t="shared" si="5"/>
        <v>0</v>
      </c>
      <c r="I131" s="107">
        <v>8500</v>
      </c>
      <c r="J131" s="91">
        <v>8500</v>
      </c>
      <c r="K131" s="83">
        <f t="shared" si="6"/>
        <v>0</v>
      </c>
      <c r="L131" s="91">
        <v>8500</v>
      </c>
      <c r="M131" s="92" t="e">
        <f>#REF!-#REF!</f>
        <v>#REF!</v>
      </c>
      <c r="N131" s="91">
        <v>8500</v>
      </c>
      <c r="O131" s="83">
        <f t="shared" si="7"/>
        <v>0</v>
      </c>
      <c r="P131" s="91">
        <v>8500</v>
      </c>
    </row>
    <row r="132" spans="1:16" s="66" customFormat="1" ht="43.5" customHeight="1" x14ac:dyDescent="0.25">
      <c r="A132" s="87" t="s">
        <v>394</v>
      </c>
      <c r="B132" s="118" t="s">
        <v>422</v>
      </c>
      <c r="C132" s="89" t="s">
        <v>423</v>
      </c>
      <c r="D132" s="89" t="s">
        <v>424</v>
      </c>
      <c r="E132" s="163">
        <f>1006500-1006500</f>
        <v>0</v>
      </c>
      <c r="F132" s="83">
        <f t="shared" si="4"/>
        <v>1450000</v>
      </c>
      <c r="G132" s="130">
        <v>1450000</v>
      </c>
      <c r="H132" s="131">
        <f t="shared" si="5"/>
        <v>0</v>
      </c>
      <c r="I132" s="130">
        <v>1450000</v>
      </c>
      <c r="J132" s="91">
        <v>0</v>
      </c>
      <c r="K132" s="83">
        <f t="shared" si="6"/>
        <v>0</v>
      </c>
      <c r="L132" s="91">
        <v>0</v>
      </c>
      <c r="M132" s="92" t="e">
        <f>#REF!-#REF!</f>
        <v>#REF!</v>
      </c>
      <c r="N132" s="91">
        <v>0</v>
      </c>
      <c r="O132" s="83">
        <f t="shared" si="7"/>
        <v>0</v>
      </c>
      <c r="P132" s="91">
        <v>0</v>
      </c>
    </row>
    <row r="133" spans="1:16" ht="36" hidden="1" customHeight="1" x14ac:dyDescent="0.25">
      <c r="A133" s="87" t="s">
        <v>394</v>
      </c>
      <c r="B133" s="118" t="s">
        <v>425</v>
      </c>
      <c r="C133" s="162" t="s">
        <v>426</v>
      </c>
      <c r="D133" s="162"/>
      <c r="E133" s="90"/>
      <c r="F133" s="81">
        <f t="shared" ref="F133:F137" si="8">I133-E133</f>
        <v>0</v>
      </c>
      <c r="G133" s="128"/>
      <c r="H133" s="81">
        <f t="shared" ref="H133:H137" si="9">I133-G133</f>
        <v>0</v>
      </c>
      <c r="I133" s="107"/>
      <c r="J133" s="91"/>
      <c r="K133" s="83">
        <f t="shared" ref="K133:K137" si="10">L133-J133</f>
        <v>0</v>
      </c>
      <c r="L133" s="91"/>
      <c r="M133" s="92" t="e">
        <f>#REF!-#REF!</f>
        <v>#REF!</v>
      </c>
      <c r="N133" s="91"/>
      <c r="O133" s="83">
        <f t="shared" ref="O133:O137" si="11">P133-N133</f>
        <v>0</v>
      </c>
      <c r="P133" s="91"/>
    </row>
    <row r="134" spans="1:16" ht="36" customHeight="1" x14ac:dyDescent="0.25">
      <c r="A134" s="87" t="s">
        <v>394</v>
      </c>
      <c r="B134" s="152" t="s">
        <v>427</v>
      </c>
      <c r="C134" s="162"/>
      <c r="D134" s="151" t="s">
        <v>428</v>
      </c>
      <c r="E134" s="129">
        <v>14674333.060000001</v>
      </c>
      <c r="F134" s="83">
        <f t="shared" si="8"/>
        <v>-9615483.0600000005</v>
      </c>
      <c r="G134" s="134">
        <f>14674333.06-9615483.06</f>
        <v>5058850</v>
      </c>
      <c r="H134" s="131">
        <f t="shared" si="9"/>
        <v>0</v>
      </c>
      <c r="I134" s="134">
        <f>14674333.06-9615483.06</f>
        <v>5058850</v>
      </c>
      <c r="J134" s="134">
        <v>13058810.16</v>
      </c>
      <c r="K134" s="126">
        <f t="shared" si="10"/>
        <v>0</v>
      </c>
      <c r="L134" s="134">
        <v>13058810.16</v>
      </c>
      <c r="M134" s="135"/>
      <c r="N134" s="134">
        <v>11308660.35</v>
      </c>
      <c r="O134" s="126">
        <f t="shared" si="11"/>
        <v>0</v>
      </c>
      <c r="P134" s="134">
        <v>11308660.35</v>
      </c>
    </row>
    <row r="135" spans="1:16" ht="20.45" customHeight="1" x14ac:dyDescent="0.25">
      <c r="A135" s="78" t="s">
        <v>429</v>
      </c>
      <c r="B135" s="79" t="s">
        <v>430</v>
      </c>
      <c r="C135" s="79"/>
      <c r="D135" s="79"/>
      <c r="E135" s="80">
        <f>E136</f>
        <v>0</v>
      </c>
      <c r="F135" s="81">
        <f t="shared" si="8"/>
        <v>272000</v>
      </c>
      <c r="G135" s="102">
        <f>G136</f>
        <v>72000</v>
      </c>
      <c r="H135" s="81">
        <f t="shared" si="9"/>
        <v>200000</v>
      </c>
      <c r="I135" s="102">
        <f>I136</f>
        <v>272000</v>
      </c>
      <c r="J135" s="82">
        <f>J136</f>
        <v>0</v>
      </c>
      <c r="K135" s="83">
        <f t="shared" si="10"/>
        <v>0</v>
      </c>
      <c r="L135" s="82">
        <f>L136</f>
        <v>0</v>
      </c>
      <c r="M135" s="84" t="e">
        <f>#REF!-#REF!</f>
        <v>#REF!</v>
      </c>
      <c r="N135" s="82">
        <f>N136</f>
        <v>0</v>
      </c>
      <c r="O135" s="83">
        <f t="shared" si="11"/>
        <v>0</v>
      </c>
      <c r="P135" s="82">
        <f>P136</f>
        <v>0</v>
      </c>
    </row>
    <row r="136" spans="1:16" ht="19.5" customHeight="1" x14ac:dyDescent="0.25">
      <c r="A136" s="87" t="s">
        <v>431</v>
      </c>
      <c r="B136" s="88" t="s">
        <v>432</v>
      </c>
      <c r="C136" s="162" t="s">
        <v>433</v>
      </c>
      <c r="D136" s="162"/>
      <c r="E136" s="90">
        <v>0</v>
      </c>
      <c r="F136" s="81">
        <f t="shared" si="8"/>
        <v>272000</v>
      </c>
      <c r="G136" s="107">
        <f>72000</f>
        <v>72000</v>
      </c>
      <c r="H136" s="81">
        <f t="shared" si="9"/>
        <v>200000</v>
      </c>
      <c r="I136" s="107">
        <f>72000+200000</f>
        <v>272000</v>
      </c>
      <c r="J136" s="91">
        <v>0</v>
      </c>
      <c r="K136" s="83">
        <f t="shared" si="10"/>
        <v>0</v>
      </c>
      <c r="L136" s="91">
        <v>0</v>
      </c>
      <c r="M136" s="84" t="e">
        <f>#REF!-#REF!</f>
        <v>#REF!</v>
      </c>
      <c r="N136" s="91">
        <v>0</v>
      </c>
      <c r="O136" s="83">
        <f t="shared" si="11"/>
        <v>0</v>
      </c>
      <c r="P136" s="91">
        <v>0</v>
      </c>
    </row>
    <row r="137" spans="1:16" s="77" customFormat="1" ht="27.6" customHeight="1" x14ac:dyDescent="0.25">
      <c r="A137" s="302" t="s">
        <v>434</v>
      </c>
      <c r="B137" s="303"/>
      <c r="C137" s="165"/>
      <c r="D137" s="165"/>
      <c r="E137" s="166">
        <f>E5+E39</f>
        <v>3799788343.5600004</v>
      </c>
      <c r="F137" s="81">
        <f t="shared" si="8"/>
        <v>233754683.06999922</v>
      </c>
      <c r="G137" s="167">
        <f>G5+G39</f>
        <v>4034843026.6299996</v>
      </c>
      <c r="H137" s="81">
        <f t="shared" si="9"/>
        <v>-1300000</v>
      </c>
      <c r="I137" s="167">
        <f>I5+I39</f>
        <v>4033543026.6299996</v>
      </c>
      <c r="J137" s="167">
        <f>J5+J39</f>
        <v>3036697339.4200001</v>
      </c>
      <c r="K137" s="83">
        <f t="shared" si="10"/>
        <v>0</v>
      </c>
      <c r="L137" s="167">
        <f>L5+L39</f>
        <v>3036697339.4200001</v>
      </c>
      <c r="M137" s="84" t="e">
        <f>#REF!-#REF!</f>
        <v>#REF!</v>
      </c>
      <c r="N137" s="167">
        <f>N5+N39</f>
        <v>2442637330.21</v>
      </c>
      <c r="O137" s="83">
        <f t="shared" si="11"/>
        <v>0</v>
      </c>
      <c r="P137" s="167">
        <f>P5+P39</f>
        <v>2442637330.21</v>
      </c>
    </row>
    <row r="138" spans="1:16" ht="25.5" customHeight="1" x14ac:dyDescent="0.25">
      <c r="A138" s="168" t="s">
        <v>435</v>
      </c>
      <c r="B138" s="169" t="s">
        <v>436</v>
      </c>
      <c r="C138" s="170"/>
      <c r="D138" s="170"/>
      <c r="E138" s="66"/>
      <c r="G138" s="66"/>
      <c r="H138" s="66"/>
      <c r="I138" s="66"/>
      <c r="J138" s="66"/>
      <c r="K138" s="66"/>
      <c r="L138" s="66"/>
      <c r="M138" s="66"/>
      <c r="N138" s="66"/>
      <c r="O138" s="66"/>
      <c r="P138" s="66"/>
    </row>
    <row r="139" spans="1:16" x14ac:dyDescent="0.25">
      <c r="A139" s="171"/>
      <c r="B139" s="170"/>
      <c r="C139" s="170"/>
      <c r="D139" s="170"/>
    </row>
    <row r="140" spans="1:16" x14ac:dyDescent="0.25">
      <c r="A140" s="171"/>
      <c r="B140" s="170"/>
      <c r="C140" s="170"/>
      <c r="D140" s="170"/>
    </row>
    <row r="141" spans="1:16" x14ac:dyDescent="0.25">
      <c r="A141" s="171"/>
      <c r="B141" s="170"/>
      <c r="C141" s="170"/>
      <c r="D141" s="170"/>
    </row>
    <row r="142" spans="1:16" x14ac:dyDescent="0.25">
      <c r="A142" s="171"/>
      <c r="B142" s="170"/>
      <c r="C142" s="170"/>
      <c r="D142" s="170"/>
    </row>
    <row r="143" spans="1:16" x14ac:dyDescent="0.25">
      <c r="A143" s="171"/>
      <c r="B143" s="170"/>
      <c r="C143" s="170"/>
      <c r="D143" s="170"/>
    </row>
    <row r="168" spans="2:4" x14ac:dyDescent="0.25">
      <c r="B168" s="54"/>
      <c r="C168" s="54"/>
      <c r="D168" s="54"/>
    </row>
    <row r="169" spans="2:4" x14ac:dyDescent="0.25">
      <c r="B169" s="54"/>
      <c r="C169" s="54"/>
      <c r="D169" s="54"/>
    </row>
    <row r="170" spans="2:4" x14ac:dyDescent="0.25">
      <c r="B170" s="54"/>
      <c r="C170" s="54"/>
      <c r="D170" s="54"/>
    </row>
    <row r="171" spans="2:4" x14ac:dyDescent="0.25">
      <c r="B171" s="54"/>
      <c r="C171" s="54"/>
      <c r="D171" s="54"/>
    </row>
    <row r="172" spans="2:4" x14ac:dyDescent="0.25">
      <c r="B172" s="54"/>
      <c r="C172" s="54"/>
      <c r="D172" s="54"/>
    </row>
    <row r="173" spans="2:4" x14ac:dyDescent="0.25">
      <c r="B173" s="54"/>
      <c r="C173" s="54"/>
      <c r="D173" s="54"/>
    </row>
    <row r="174" spans="2:4" x14ac:dyDescent="0.25">
      <c r="B174" s="54"/>
      <c r="C174" s="54"/>
      <c r="D174" s="54"/>
    </row>
    <row r="175" spans="2:4" x14ac:dyDescent="0.25">
      <c r="B175" s="54"/>
      <c r="C175" s="54"/>
      <c r="D175" s="54"/>
    </row>
    <row r="176" spans="2:4" x14ac:dyDescent="0.25">
      <c r="B176" s="54"/>
      <c r="C176" s="54"/>
      <c r="D176" s="54"/>
    </row>
    <row r="177" spans="2:4" x14ac:dyDescent="0.25">
      <c r="B177" s="54"/>
      <c r="C177" s="54"/>
      <c r="D177" s="54"/>
    </row>
    <row r="178" spans="2:4" x14ac:dyDescent="0.25">
      <c r="B178" s="54"/>
      <c r="C178" s="54"/>
      <c r="D178" s="54"/>
    </row>
    <row r="179" spans="2:4" x14ac:dyDescent="0.25">
      <c r="B179" s="54"/>
      <c r="C179" s="54"/>
      <c r="D179" s="54"/>
    </row>
    <row r="180" spans="2:4" x14ac:dyDescent="0.25">
      <c r="B180" s="54"/>
      <c r="C180" s="54"/>
      <c r="D180" s="54"/>
    </row>
    <row r="181" spans="2:4" x14ac:dyDescent="0.25">
      <c r="B181" s="54"/>
      <c r="C181" s="54"/>
      <c r="D181" s="54"/>
    </row>
    <row r="182" spans="2:4" x14ac:dyDescent="0.25">
      <c r="B182" s="54"/>
      <c r="C182" s="54"/>
      <c r="D182" s="54"/>
    </row>
    <row r="183" spans="2:4" x14ac:dyDescent="0.25">
      <c r="B183" s="54"/>
      <c r="C183" s="54"/>
      <c r="D183" s="54"/>
    </row>
    <row r="184" spans="2:4" x14ac:dyDescent="0.25">
      <c r="B184" s="54"/>
      <c r="C184" s="54"/>
      <c r="D184" s="54"/>
    </row>
    <row r="185" spans="2:4" x14ac:dyDescent="0.25">
      <c r="B185" s="54"/>
      <c r="C185" s="54"/>
      <c r="D185" s="54"/>
    </row>
    <row r="186" spans="2:4" x14ac:dyDescent="0.25">
      <c r="B186" s="54"/>
      <c r="C186" s="54"/>
      <c r="D186" s="54"/>
    </row>
    <row r="187" spans="2:4" x14ac:dyDescent="0.25">
      <c r="B187" s="54"/>
      <c r="C187" s="54"/>
      <c r="D187" s="54"/>
    </row>
    <row r="188" spans="2:4" x14ac:dyDescent="0.25">
      <c r="B188" s="54"/>
      <c r="C188" s="54"/>
      <c r="D188" s="54"/>
    </row>
    <row r="189" spans="2:4" x14ac:dyDescent="0.25">
      <c r="B189" s="54"/>
      <c r="C189" s="54"/>
      <c r="D189" s="54"/>
    </row>
    <row r="190" spans="2:4" x14ac:dyDescent="0.25">
      <c r="B190" s="54"/>
      <c r="C190" s="54"/>
      <c r="D190" s="54"/>
    </row>
    <row r="191" spans="2:4" x14ac:dyDescent="0.25">
      <c r="B191" s="54"/>
      <c r="C191" s="54"/>
      <c r="D191" s="54"/>
    </row>
    <row r="192" spans="2:4" x14ac:dyDescent="0.25">
      <c r="B192" s="54"/>
      <c r="C192" s="54"/>
      <c r="D192" s="54"/>
    </row>
    <row r="193" spans="2:4" x14ac:dyDescent="0.25">
      <c r="B193" s="54"/>
      <c r="C193" s="54"/>
      <c r="D193" s="54"/>
    </row>
    <row r="194" spans="2:4" x14ac:dyDescent="0.25">
      <c r="B194" s="54"/>
      <c r="C194" s="54"/>
      <c r="D194" s="54"/>
    </row>
    <row r="195" spans="2:4" x14ac:dyDescent="0.25">
      <c r="B195" s="54"/>
      <c r="C195" s="54"/>
      <c r="D195" s="54"/>
    </row>
    <row r="196" spans="2:4" x14ac:dyDescent="0.25">
      <c r="B196" s="54"/>
      <c r="C196" s="54"/>
      <c r="D196" s="54"/>
    </row>
    <row r="197" spans="2:4" x14ac:dyDescent="0.25">
      <c r="B197" s="54"/>
      <c r="C197" s="54"/>
      <c r="D197" s="54"/>
    </row>
    <row r="198" spans="2:4" x14ac:dyDescent="0.25">
      <c r="B198" s="54"/>
      <c r="C198" s="54"/>
      <c r="D198" s="54"/>
    </row>
    <row r="199" spans="2:4" x14ac:dyDescent="0.25">
      <c r="B199" s="54"/>
      <c r="C199" s="54"/>
      <c r="D199" s="54"/>
    </row>
    <row r="200" spans="2:4" x14ac:dyDescent="0.25">
      <c r="B200" s="54"/>
      <c r="C200" s="54"/>
      <c r="D200" s="54"/>
    </row>
    <row r="201" spans="2:4" x14ac:dyDescent="0.25">
      <c r="B201" s="54"/>
      <c r="C201" s="54"/>
      <c r="D201" s="54"/>
    </row>
    <row r="202" spans="2:4" x14ac:dyDescent="0.25">
      <c r="B202" s="54"/>
      <c r="C202" s="54"/>
      <c r="D202" s="54"/>
    </row>
    <row r="203" spans="2:4" x14ac:dyDescent="0.25">
      <c r="B203" s="54"/>
      <c r="C203" s="54"/>
      <c r="D203" s="54"/>
    </row>
    <row r="204" spans="2:4" x14ac:dyDescent="0.25">
      <c r="B204" s="54"/>
      <c r="C204" s="54"/>
      <c r="D204" s="54"/>
    </row>
    <row r="205" spans="2:4" x14ac:dyDescent="0.25">
      <c r="B205" s="54"/>
      <c r="C205" s="54"/>
      <c r="D205" s="54"/>
    </row>
    <row r="206" spans="2:4" x14ac:dyDescent="0.25">
      <c r="B206" s="54"/>
      <c r="C206" s="54"/>
      <c r="D206" s="54"/>
    </row>
    <row r="207" spans="2:4" x14ac:dyDescent="0.25">
      <c r="B207" s="54"/>
      <c r="C207" s="54"/>
      <c r="D207" s="54"/>
    </row>
    <row r="208" spans="2:4" x14ac:dyDescent="0.25">
      <c r="B208" s="54"/>
      <c r="C208" s="54"/>
      <c r="D208" s="54"/>
    </row>
    <row r="209" spans="2:4" x14ac:dyDescent="0.25">
      <c r="B209" s="54"/>
      <c r="C209" s="54"/>
      <c r="D209" s="54"/>
    </row>
    <row r="210" spans="2:4" x14ac:dyDescent="0.25">
      <c r="B210" s="54"/>
      <c r="C210" s="54"/>
      <c r="D210" s="54"/>
    </row>
    <row r="211" spans="2:4" x14ac:dyDescent="0.25">
      <c r="B211" s="54"/>
      <c r="C211" s="54"/>
      <c r="D211" s="54"/>
    </row>
    <row r="212" spans="2:4" x14ac:dyDescent="0.25">
      <c r="B212" s="54"/>
      <c r="C212" s="54"/>
      <c r="D212" s="54"/>
    </row>
    <row r="213" spans="2:4" x14ac:dyDescent="0.25">
      <c r="B213" s="54"/>
      <c r="C213" s="54"/>
      <c r="D213" s="54"/>
    </row>
    <row r="214" spans="2:4" x14ac:dyDescent="0.25">
      <c r="B214" s="54"/>
      <c r="C214" s="54"/>
      <c r="D214" s="54"/>
    </row>
    <row r="215" spans="2:4" x14ac:dyDescent="0.25">
      <c r="B215" s="54"/>
      <c r="C215" s="54"/>
      <c r="D215" s="54"/>
    </row>
    <row r="216" spans="2:4" x14ac:dyDescent="0.25">
      <c r="B216" s="54"/>
      <c r="C216" s="54"/>
      <c r="D216" s="54"/>
    </row>
    <row r="217" spans="2:4" x14ac:dyDescent="0.25">
      <c r="B217" s="54"/>
      <c r="C217" s="54"/>
      <c r="D217" s="54"/>
    </row>
    <row r="218" spans="2:4" x14ac:dyDescent="0.25">
      <c r="B218" s="54"/>
      <c r="C218" s="54"/>
      <c r="D218" s="54"/>
    </row>
    <row r="219" spans="2:4" x14ac:dyDescent="0.25">
      <c r="B219" s="54"/>
      <c r="C219" s="54"/>
      <c r="D219" s="54"/>
    </row>
    <row r="220" spans="2:4" x14ac:dyDescent="0.25">
      <c r="B220" s="54"/>
      <c r="C220" s="54"/>
      <c r="D220" s="54"/>
    </row>
    <row r="221" spans="2:4" x14ac:dyDescent="0.25">
      <c r="B221" s="54"/>
      <c r="C221" s="54"/>
      <c r="D221" s="54"/>
    </row>
    <row r="222" spans="2:4" x14ac:dyDescent="0.25">
      <c r="B222" s="54"/>
      <c r="C222" s="54"/>
      <c r="D222" s="54"/>
    </row>
    <row r="223" spans="2:4" x14ac:dyDescent="0.25">
      <c r="B223" s="54"/>
      <c r="C223" s="54"/>
      <c r="D223" s="54"/>
    </row>
  </sheetData>
  <autoFilter ref="A4:P139" xr:uid="{00000000-0009-0000-0000-000001000000}"/>
  <mergeCells count="1">
    <mergeCell ref="A137:B137"/>
  </mergeCells>
  <pageMargins left="0" right="0" top="0" bottom="0" header="0.31496062992125984" footer="0.31496062992125984"/>
  <pageSetup paperSize="9" scale="52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1:J223"/>
  <sheetViews>
    <sheetView view="pageBreakPreview" topLeftCell="B167" zoomScale="85" workbookViewId="0">
      <selection activeCell="D27" sqref="D27"/>
    </sheetView>
  </sheetViews>
  <sheetFormatPr defaultColWidth="15.140625" defaultRowHeight="12" x14ac:dyDescent="0.25"/>
  <cols>
    <col min="1" max="1" width="3.7109375" style="172" customWidth="1"/>
    <col min="2" max="2" width="16.28515625" style="173" customWidth="1"/>
    <col min="3" max="3" width="16.5703125" style="174" customWidth="1"/>
    <col min="4" max="4" width="15.140625" style="174"/>
    <col min="5" max="5" width="18.28515625" style="175" customWidth="1"/>
    <col min="6" max="6" width="33.140625" style="172" customWidth="1"/>
    <col min="7" max="7" width="16.5703125" style="174" customWidth="1"/>
    <col min="8" max="8" width="15.140625" style="172"/>
    <col min="9" max="9" width="13.85546875" style="172" customWidth="1"/>
    <col min="10" max="10" width="25.7109375" style="172" customWidth="1"/>
    <col min="11" max="16384" width="15.140625" style="172"/>
  </cols>
  <sheetData>
    <row r="1" spans="2:10" ht="22.9" customHeight="1" x14ac:dyDescent="0.25">
      <c r="B1" s="304" t="s">
        <v>437</v>
      </c>
      <c r="C1" s="304"/>
      <c r="D1" s="304"/>
      <c r="E1" s="304"/>
      <c r="F1" s="304"/>
    </row>
    <row r="2" spans="2:10" ht="22.9" customHeight="1" x14ac:dyDescent="0.25">
      <c r="C2" s="304" t="s">
        <v>438</v>
      </c>
      <c r="D2" s="304"/>
      <c r="F2" s="174" t="s">
        <v>439</v>
      </c>
      <c r="I2" s="304"/>
      <c r="J2" s="304"/>
    </row>
    <row r="3" spans="2:10" ht="22.9" customHeight="1" x14ac:dyDescent="0.25">
      <c r="B3" s="176" t="s">
        <v>440</v>
      </c>
      <c r="C3" s="177">
        <v>73781032.640000001</v>
      </c>
      <c r="D3" s="178">
        <f>('доходы 24,25,26,27 сравнение'!I5-164084600)*10%</f>
        <v>27338910.800000001</v>
      </c>
      <c r="E3" s="176" t="s">
        <v>440</v>
      </c>
      <c r="F3" s="177"/>
      <c r="G3" s="177">
        <v>73781032.640000001</v>
      </c>
      <c r="H3" s="179"/>
      <c r="I3" s="180"/>
    </row>
    <row r="4" spans="2:10" ht="22.9" customHeight="1" x14ac:dyDescent="0.25">
      <c r="B4" s="176" t="s">
        <v>441</v>
      </c>
      <c r="C4" s="177">
        <v>58217858.420000002</v>
      </c>
      <c r="D4" s="181"/>
      <c r="E4" s="176" t="s">
        <v>441</v>
      </c>
      <c r="F4" s="177"/>
      <c r="G4" s="177">
        <v>58217858.420000002</v>
      </c>
      <c r="H4" s="179"/>
      <c r="I4" s="180"/>
    </row>
    <row r="5" spans="2:10" ht="54.75" customHeight="1" x14ac:dyDescent="0.25">
      <c r="B5" s="176" t="s">
        <v>442</v>
      </c>
      <c r="C5" s="177">
        <f>1825194.56+454300+45000+334345.03</f>
        <v>2658839.59</v>
      </c>
      <c r="D5" s="181"/>
      <c r="E5" s="176" t="s">
        <v>442</v>
      </c>
      <c r="F5" s="177"/>
      <c r="G5" s="177">
        <f>1825194.56+454300+45000+334345.03</f>
        <v>2658839.59</v>
      </c>
      <c r="H5" s="179"/>
      <c r="I5" s="180"/>
    </row>
    <row r="6" spans="2:10" ht="32.25" customHeight="1" x14ac:dyDescent="0.25">
      <c r="B6" s="176" t="s">
        <v>443</v>
      </c>
      <c r="C6" s="182">
        <v>2837236.38</v>
      </c>
      <c r="D6" s="181"/>
      <c r="E6" s="176" t="s">
        <v>443</v>
      </c>
      <c r="F6" s="177"/>
      <c r="G6" s="182">
        <v>2837236.38</v>
      </c>
      <c r="H6" s="179"/>
      <c r="I6" s="180"/>
    </row>
    <row r="7" spans="2:10" ht="30" customHeight="1" x14ac:dyDescent="0.25">
      <c r="B7" s="176" t="s">
        <v>444</v>
      </c>
      <c r="C7" s="183">
        <f>4026654.15+15714.26+462727.26+382134.54+579052.19+173809.59+6755.67+293004.03+360128.63</f>
        <v>6299980.3200000003</v>
      </c>
      <c r="D7" s="181"/>
      <c r="E7" s="176" t="s">
        <v>444</v>
      </c>
      <c r="F7" s="177"/>
      <c r="G7" s="183">
        <f>4026654.15+15714.26+462727.26+382134.54+579052.19+173809.59+6755.67+293004.03+360128.63</f>
        <v>6299980.3200000003</v>
      </c>
      <c r="H7" s="184" t="s">
        <v>445</v>
      </c>
      <c r="I7" s="180"/>
      <c r="J7" s="185"/>
    </row>
    <row r="8" spans="2:10" ht="38.25" customHeight="1" x14ac:dyDescent="0.25">
      <c r="B8" s="176" t="s">
        <v>446</v>
      </c>
      <c r="C8" s="186">
        <v>523440.25</v>
      </c>
      <c r="D8" s="181"/>
      <c r="E8" s="176" t="s">
        <v>447</v>
      </c>
      <c r="F8" s="177"/>
      <c r="G8" s="186">
        <v>523440.25</v>
      </c>
      <c r="H8" s="179"/>
      <c r="I8" s="180"/>
    </row>
    <row r="9" spans="2:10" ht="38.25" customHeight="1" x14ac:dyDescent="0.25">
      <c r="B9" s="176"/>
      <c r="C9" s="186">
        <v>600000.01</v>
      </c>
      <c r="D9" s="181"/>
      <c r="E9" s="176" t="s">
        <v>448</v>
      </c>
      <c r="F9" s="177"/>
      <c r="G9" s="186">
        <v>600000.01</v>
      </c>
      <c r="H9" s="179"/>
      <c r="I9" s="180"/>
    </row>
    <row r="10" spans="2:10" ht="38.25" customHeight="1" x14ac:dyDescent="0.25">
      <c r="B10" s="176" t="s">
        <v>449</v>
      </c>
      <c r="C10" s="187">
        <v>3053721.99</v>
      </c>
      <c r="D10" s="181"/>
      <c r="E10" s="176" t="s">
        <v>449</v>
      </c>
      <c r="F10" s="177"/>
      <c r="G10" s="187">
        <v>3053721.99</v>
      </c>
      <c r="H10" s="179"/>
      <c r="I10" s="180"/>
    </row>
    <row r="11" spans="2:10" ht="22.9" customHeight="1" x14ac:dyDescent="0.25">
      <c r="B11" s="176" t="s">
        <v>450</v>
      </c>
      <c r="C11" s="187">
        <v>2041681.6</v>
      </c>
      <c r="D11" s="181"/>
      <c r="E11" s="176" t="s">
        <v>450</v>
      </c>
      <c r="F11" s="177"/>
      <c r="G11" s="187">
        <v>2041681.6</v>
      </c>
      <c r="H11" s="179"/>
      <c r="I11" s="180"/>
    </row>
    <row r="12" spans="2:10" ht="22.9" customHeight="1" x14ac:dyDescent="0.25">
      <c r="B12" s="176" t="s">
        <v>451</v>
      </c>
      <c r="C12" s="188">
        <f>C3+C4+C5+C6+C7+C8+C10+C11+C9</f>
        <v>150013791.19999999</v>
      </c>
      <c r="D12" s="181"/>
      <c r="E12" s="176" t="s">
        <v>451</v>
      </c>
      <c r="F12" s="177"/>
      <c r="G12" s="188">
        <f>G3+G4+G5+G6+G7+G8+G10+G11+G9</f>
        <v>150013791.19999999</v>
      </c>
      <c r="H12" s="179"/>
      <c r="I12" s="180"/>
    </row>
    <row r="13" spans="2:10" ht="22.9" customHeight="1" x14ac:dyDescent="0.25">
      <c r="B13" s="176" t="s">
        <v>452</v>
      </c>
      <c r="C13" s="178">
        <f>3351232.19+55399.48</f>
        <v>3406631.67</v>
      </c>
      <c r="D13" s="181"/>
      <c r="E13" s="176" t="s">
        <v>452</v>
      </c>
      <c r="F13" s="177"/>
      <c r="G13" s="178">
        <f>3351232.19+55399.48</f>
        <v>3406631.67</v>
      </c>
      <c r="H13" s="189"/>
      <c r="I13" s="180"/>
    </row>
    <row r="14" spans="2:10" ht="22.9" customHeight="1" x14ac:dyDescent="0.25">
      <c r="B14" s="176" t="s">
        <v>453</v>
      </c>
      <c r="C14" s="178">
        <f>1825194.56+2072596.71+17414447.52</f>
        <v>21312238.789999999</v>
      </c>
      <c r="D14" s="181"/>
      <c r="E14" s="176" t="s">
        <v>454</v>
      </c>
      <c r="F14" s="177"/>
      <c r="G14" s="178">
        <f>1825194.56+2072596.71+17414447.52-2708444.61</f>
        <v>18603794.18</v>
      </c>
      <c r="H14" s="189"/>
      <c r="I14" s="180"/>
    </row>
    <row r="15" spans="2:10" ht="22.9" customHeight="1" x14ac:dyDescent="0.25">
      <c r="B15" s="176" t="s">
        <v>455</v>
      </c>
      <c r="C15" s="178"/>
      <c r="D15" s="181"/>
      <c r="E15" s="176" t="s">
        <v>455</v>
      </c>
      <c r="F15" s="177"/>
      <c r="G15" s="178"/>
      <c r="H15" s="179"/>
      <c r="I15" s="180"/>
    </row>
    <row r="16" spans="2:10" ht="22.9" customHeight="1" x14ac:dyDescent="0.25">
      <c r="B16" s="190" t="s">
        <v>456</v>
      </c>
      <c r="C16" s="191">
        <f>'доходы 24,25,26,27 сравнение'!G137</f>
        <v>4034843026.6299996</v>
      </c>
      <c r="D16" s="192"/>
      <c r="E16" s="193" t="s">
        <v>456</v>
      </c>
      <c r="F16" s="191"/>
      <c r="G16" s="191">
        <f>'доходы 24,25,26,27 сравнение'!I137</f>
        <v>4033543026.6299996</v>
      </c>
      <c r="H16" s="179"/>
      <c r="I16" s="180"/>
    </row>
    <row r="17" spans="2:9" ht="22.9" customHeight="1" x14ac:dyDescent="0.25">
      <c r="B17" s="190" t="s">
        <v>457</v>
      </c>
      <c r="C17" s="191">
        <v>4137967059.6199999</v>
      </c>
      <c r="D17" s="192"/>
      <c r="E17" s="193" t="s">
        <v>457</v>
      </c>
      <c r="F17" s="191"/>
      <c r="G17" s="191">
        <f>C17+E207</f>
        <v>4137103929.6199999</v>
      </c>
      <c r="H17" s="194"/>
      <c r="I17" s="180"/>
    </row>
    <row r="18" spans="2:9" ht="22.9" customHeight="1" x14ac:dyDescent="0.25">
      <c r="B18" s="195" t="s">
        <v>458</v>
      </c>
      <c r="C18" s="196">
        <f>318168+500530.15+534879.08</f>
        <v>1353577.23</v>
      </c>
      <c r="D18" s="181"/>
      <c r="E18" s="195" t="s">
        <v>458</v>
      </c>
      <c r="F18" s="177"/>
      <c r="G18" s="187">
        <f>318168+500530.15+534879.08</f>
        <v>1353577.23</v>
      </c>
      <c r="H18" s="197"/>
      <c r="I18" s="180"/>
    </row>
    <row r="19" spans="2:9" ht="22.9" customHeight="1" x14ac:dyDescent="0.25">
      <c r="B19" s="195" t="s">
        <v>459</v>
      </c>
      <c r="C19" s="187">
        <f>C11-C18</f>
        <v>688104.37000000011</v>
      </c>
      <c r="D19" s="181"/>
      <c r="E19" s="195" t="s">
        <v>459</v>
      </c>
      <c r="F19" s="177"/>
      <c r="G19" s="187">
        <f>G11-G18</f>
        <v>688104.37000000011</v>
      </c>
      <c r="H19" s="197"/>
      <c r="I19" s="180"/>
    </row>
    <row r="20" spans="2:9" ht="24" x14ac:dyDescent="0.25">
      <c r="B20" s="195" t="s">
        <v>460</v>
      </c>
      <c r="C20" s="196">
        <f>951152.9+2102569.09</f>
        <v>3053721.9899999998</v>
      </c>
      <c r="D20" s="181"/>
      <c r="E20" s="195" t="s">
        <v>460</v>
      </c>
      <c r="F20" s="177"/>
      <c r="G20" s="187">
        <f>951152.9+2102569.09</f>
        <v>3053721.9899999998</v>
      </c>
      <c r="H20" s="197"/>
      <c r="I20" s="180"/>
    </row>
    <row r="21" spans="2:9" ht="19.5" customHeight="1" x14ac:dyDescent="0.25">
      <c r="B21" s="195" t="s">
        <v>459</v>
      </c>
      <c r="C21" s="187">
        <f>C10-C20</f>
        <v>0</v>
      </c>
      <c r="D21" s="181"/>
      <c r="E21" s="195" t="s">
        <v>459</v>
      </c>
      <c r="F21" s="177"/>
      <c r="G21" s="187">
        <f>G10-G20</f>
        <v>0</v>
      </c>
      <c r="H21" s="197"/>
      <c r="I21" s="180"/>
    </row>
    <row r="22" spans="2:9" x14ac:dyDescent="0.25">
      <c r="B22" s="176" t="s">
        <v>461</v>
      </c>
      <c r="C22" s="177">
        <f>C16-C17</f>
        <v>-103124032.99000025</v>
      </c>
      <c r="D22" s="181"/>
      <c r="E22" s="195" t="s">
        <v>461</v>
      </c>
      <c r="F22" s="177"/>
      <c r="G22" s="177">
        <f>G16-G17</f>
        <v>-103560902.99000025</v>
      </c>
      <c r="H22" s="198"/>
      <c r="I22" s="180"/>
    </row>
    <row r="23" spans="2:9" ht="24" x14ac:dyDescent="0.25">
      <c r="B23" s="176" t="s">
        <v>462</v>
      </c>
      <c r="C23" s="177">
        <f>C3+55399.48+173809.59+293004.03+4026654.15+202781.64+C14+462727.26+600000+C6+382134.54+C18+C20+C8</f>
        <v>109057757.97000003</v>
      </c>
      <c r="D23" s="181"/>
      <c r="E23" s="195" t="s">
        <v>462</v>
      </c>
      <c r="F23" s="177"/>
      <c r="G23" s="177">
        <f>G3+55399.48+173809.59+293004.03+4026654.15+202781.64+G14+462727.26+600000+G6+382134.54+G18+G20+G8+376270.25</f>
        <v>106725583.61000001</v>
      </c>
      <c r="H23" s="198">
        <f>G22+G23</f>
        <v>3164680.6199997663</v>
      </c>
      <c r="I23" s="180"/>
    </row>
    <row r="24" spans="2:9" x14ac:dyDescent="0.25">
      <c r="B24" s="176" t="s">
        <v>461</v>
      </c>
      <c r="C24" s="177"/>
      <c r="D24" s="181"/>
      <c r="E24" s="195" t="s">
        <v>461</v>
      </c>
      <c r="F24" s="199"/>
      <c r="G24" s="177"/>
      <c r="H24" s="198"/>
      <c r="I24" s="200"/>
    </row>
    <row r="25" spans="2:9" ht="12" customHeight="1" x14ac:dyDescent="0.25">
      <c r="B25" s="201"/>
      <c r="C25" s="202"/>
      <c r="D25" s="203"/>
      <c r="E25" s="204" t="s">
        <v>89</v>
      </c>
      <c r="F25" s="204" t="s">
        <v>463</v>
      </c>
      <c r="G25" s="202"/>
      <c r="H25" s="198"/>
    </row>
    <row r="26" spans="2:9" ht="25.5" customHeight="1" x14ac:dyDescent="0.25">
      <c r="B26" s="201"/>
      <c r="C26" s="202"/>
      <c r="D26" s="203"/>
      <c r="E26" s="205">
        <v>200000</v>
      </c>
      <c r="F26" s="206" t="s">
        <v>464</v>
      </c>
      <c r="G26" s="202"/>
      <c r="H26" s="198"/>
    </row>
    <row r="27" spans="2:9" ht="60.75" customHeight="1" x14ac:dyDescent="0.25">
      <c r="B27" s="201"/>
      <c r="C27" s="202"/>
      <c r="D27" s="203"/>
      <c r="E27" s="207">
        <v>-1500000</v>
      </c>
      <c r="F27" s="206" t="s">
        <v>360</v>
      </c>
      <c r="G27" s="202"/>
      <c r="H27" s="198"/>
    </row>
    <row r="28" spans="2:9" x14ac:dyDescent="0.25">
      <c r="B28" s="201"/>
      <c r="C28" s="202"/>
      <c r="D28" s="203"/>
      <c r="E28" s="207"/>
      <c r="F28" s="208"/>
      <c r="G28" s="202"/>
      <c r="H28" s="198"/>
    </row>
    <row r="29" spans="2:9" x14ac:dyDescent="0.25">
      <c r="B29" s="201"/>
      <c r="C29" s="202"/>
      <c r="D29" s="203"/>
      <c r="E29" s="207"/>
      <c r="F29" s="206"/>
      <c r="G29" s="202"/>
      <c r="H29" s="198"/>
    </row>
    <row r="30" spans="2:9" x14ac:dyDescent="0.25">
      <c r="B30" s="201"/>
      <c r="C30" s="202"/>
      <c r="D30" s="203"/>
      <c r="E30" s="207"/>
      <c r="F30" s="206"/>
      <c r="G30" s="202"/>
      <c r="H30" s="198"/>
    </row>
    <row r="31" spans="2:9" x14ac:dyDescent="0.25">
      <c r="B31" s="201"/>
      <c r="C31" s="202"/>
      <c r="D31" s="203"/>
      <c r="E31" s="207"/>
      <c r="F31" s="206"/>
      <c r="G31" s="202"/>
      <c r="H31" s="198"/>
    </row>
    <row r="32" spans="2:9" hidden="1" x14ac:dyDescent="0.25">
      <c r="B32" s="201"/>
      <c r="C32" s="202"/>
      <c r="D32" s="203"/>
      <c r="E32" s="207"/>
      <c r="F32" s="206"/>
      <c r="G32" s="202"/>
      <c r="H32" s="198"/>
    </row>
    <row r="33" spans="2:8" hidden="1" x14ac:dyDescent="0.25">
      <c r="B33" s="201"/>
      <c r="C33" s="202"/>
      <c r="D33" s="203"/>
      <c r="E33" s="207"/>
      <c r="F33" s="206"/>
      <c r="G33" s="202"/>
      <c r="H33" s="198"/>
    </row>
    <row r="34" spans="2:8" ht="25.5" hidden="1" customHeight="1" x14ac:dyDescent="0.25">
      <c r="B34" s="201"/>
      <c r="C34" s="202"/>
      <c r="D34" s="203"/>
      <c r="E34" s="207"/>
      <c r="F34" s="206"/>
      <c r="G34" s="202"/>
      <c r="H34" s="198"/>
    </row>
    <row r="35" spans="2:8" hidden="1" x14ac:dyDescent="0.25">
      <c r="B35" s="201"/>
      <c r="C35" s="202"/>
      <c r="D35" s="203"/>
      <c r="E35" s="207"/>
      <c r="F35" s="206"/>
      <c r="G35" s="209"/>
      <c r="H35" s="198"/>
    </row>
    <row r="36" spans="2:8" hidden="1" x14ac:dyDescent="0.25">
      <c r="B36" s="201"/>
      <c r="C36" s="202"/>
      <c r="D36" s="203"/>
      <c r="E36" s="207"/>
      <c r="F36" s="206"/>
      <c r="G36" s="202"/>
      <c r="H36" s="198"/>
    </row>
    <row r="37" spans="2:8" hidden="1" x14ac:dyDescent="0.25">
      <c r="B37" s="201"/>
      <c r="C37" s="202"/>
      <c r="D37" s="203"/>
      <c r="E37" s="207"/>
      <c r="F37" s="206"/>
      <c r="G37" s="202"/>
      <c r="H37" s="207"/>
    </row>
    <row r="38" spans="2:8" hidden="1" x14ac:dyDescent="0.25">
      <c r="B38" s="201"/>
      <c r="C38" s="202"/>
      <c r="D38" s="203"/>
      <c r="E38" s="207"/>
      <c r="F38" s="206"/>
      <c r="G38" s="202"/>
      <c r="H38" s="198"/>
    </row>
    <row r="39" spans="2:8" hidden="1" x14ac:dyDescent="0.25">
      <c r="B39" s="201"/>
      <c r="C39" s="202"/>
      <c r="D39" s="203"/>
      <c r="E39" s="207"/>
      <c r="F39" s="206"/>
      <c r="G39" s="202"/>
      <c r="H39" s="198"/>
    </row>
    <row r="40" spans="2:8" hidden="1" x14ac:dyDescent="0.25">
      <c r="B40" s="201"/>
      <c r="C40" s="202"/>
      <c r="D40" s="203"/>
      <c r="E40" s="207"/>
      <c r="F40" s="206"/>
      <c r="G40" s="202"/>
      <c r="H40" s="198"/>
    </row>
    <row r="41" spans="2:8" hidden="1" x14ac:dyDescent="0.25">
      <c r="B41" s="201"/>
      <c r="C41" s="202"/>
      <c r="D41" s="203"/>
      <c r="E41" s="207"/>
      <c r="F41" s="206"/>
      <c r="G41" s="202"/>
      <c r="H41" s="210"/>
    </row>
    <row r="42" spans="2:8" hidden="1" x14ac:dyDescent="0.25">
      <c r="B42" s="201"/>
      <c r="C42" s="202"/>
      <c r="D42" s="203"/>
      <c r="E42" s="207"/>
      <c r="F42" s="206"/>
      <c r="G42" s="202"/>
      <c r="H42" s="198"/>
    </row>
    <row r="43" spans="2:8" hidden="1" x14ac:dyDescent="0.25">
      <c r="B43" s="201"/>
      <c r="C43" s="202"/>
      <c r="D43" s="203"/>
      <c r="E43" s="207"/>
      <c r="F43" s="206"/>
      <c r="G43" s="202"/>
      <c r="H43" s="198"/>
    </row>
    <row r="44" spans="2:8" hidden="1" x14ac:dyDescent="0.25">
      <c r="B44" s="201"/>
      <c r="C44" s="202"/>
      <c r="D44" s="203"/>
      <c r="E44" s="207"/>
      <c r="F44" s="206"/>
      <c r="G44" s="202"/>
      <c r="H44" s="198"/>
    </row>
    <row r="45" spans="2:8" ht="47.25" hidden="1" customHeight="1" x14ac:dyDescent="0.25">
      <c r="B45" s="201"/>
      <c r="C45" s="202"/>
      <c r="D45" s="203"/>
      <c r="E45" s="207"/>
      <c r="F45" s="206"/>
      <c r="G45" s="202"/>
      <c r="H45" s="198"/>
    </row>
    <row r="46" spans="2:8" hidden="1" x14ac:dyDescent="0.25">
      <c r="B46" s="201"/>
      <c r="C46" s="202"/>
      <c r="D46" s="203"/>
      <c r="E46" s="207"/>
      <c r="F46" s="206"/>
      <c r="G46" s="202"/>
      <c r="H46" s="198"/>
    </row>
    <row r="47" spans="2:8" hidden="1" x14ac:dyDescent="0.25">
      <c r="B47" s="201"/>
      <c r="C47" s="202"/>
      <c r="D47" s="203"/>
      <c r="E47" s="207"/>
      <c r="F47" s="206"/>
      <c r="G47" s="202"/>
      <c r="H47" s="198"/>
    </row>
    <row r="48" spans="2:8" hidden="1" x14ac:dyDescent="0.25">
      <c r="B48" s="201"/>
      <c r="C48" s="202"/>
      <c r="D48" s="203"/>
      <c r="E48" s="207"/>
      <c r="F48" s="206"/>
      <c r="G48" s="202"/>
      <c r="H48" s="198"/>
    </row>
    <row r="49" spans="2:10" hidden="1" x14ac:dyDescent="0.25">
      <c r="B49" s="201"/>
      <c r="C49" s="202"/>
      <c r="D49" s="203"/>
      <c r="E49" s="207"/>
      <c r="F49" s="206"/>
      <c r="G49" s="202"/>
      <c r="H49" s="198"/>
    </row>
    <row r="50" spans="2:10" hidden="1" x14ac:dyDescent="0.25">
      <c r="B50" s="201"/>
      <c r="C50" s="202"/>
      <c r="D50" s="203"/>
      <c r="E50" s="207"/>
      <c r="F50" s="206"/>
      <c r="G50" s="202"/>
      <c r="H50" s="198"/>
    </row>
    <row r="51" spans="2:10" hidden="1" x14ac:dyDescent="0.25">
      <c r="B51" s="201"/>
      <c r="C51" s="202"/>
      <c r="D51" s="203"/>
      <c r="E51" s="207"/>
      <c r="F51" s="206"/>
      <c r="G51" s="202"/>
      <c r="H51" s="198"/>
    </row>
    <row r="52" spans="2:10" hidden="1" x14ac:dyDescent="0.25">
      <c r="B52" s="201"/>
      <c r="C52" s="202"/>
      <c r="D52" s="203"/>
      <c r="E52" s="207"/>
      <c r="F52" s="206"/>
      <c r="G52" s="202"/>
      <c r="H52" s="198"/>
    </row>
    <row r="53" spans="2:10" ht="32.25" hidden="1" customHeight="1" x14ac:dyDescent="0.25">
      <c r="B53" s="201"/>
      <c r="C53" s="202"/>
      <c r="D53" s="203"/>
      <c r="E53" s="207"/>
      <c r="F53" s="206"/>
      <c r="G53" s="202"/>
      <c r="H53" s="198"/>
    </row>
    <row r="54" spans="2:10" hidden="1" x14ac:dyDescent="0.25">
      <c r="B54" s="201"/>
      <c r="C54" s="202"/>
      <c r="D54" s="203"/>
      <c r="E54" s="207"/>
      <c r="F54" s="206"/>
      <c r="G54" s="202"/>
      <c r="H54" s="197"/>
    </row>
    <row r="55" spans="2:10" x14ac:dyDescent="0.25">
      <c r="B55" s="211" t="s">
        <v>465</v>
      </c>
      <c r="C55" s="191">
        <f>'доходы 24,25,26,27 сравнение'!G137</f>
        <v>4034843026.6299996</v>
      </c>
      <c r="D55" s="212">
        <f>'доходы 24,25,26,27 сравнение'!I137</f>
        <v>4033543026.6299996</v>
      </c>
      <c r="E55" s="213">
        <f>SUM(E26:E54)</f>
        <v>-1300000</v>
      </c>
      <c r="F55" s="214" t="s">
        <v>466</v>
      </c>
      <c r="G55" s="191">
        <f>D55-C55</f>
        <v>-1300000</v>
      </c>
      <c r="H55" s="198"/>
    </row>
    <row r="56" spans="2:10" x14ac:dyDescent="0.25">
      <c r="B56" s="211" t="s">
        <v>467</v>
      </c>
      <c r="C56" s="215"/>
      <c r="D56" s="212"/>
      <c r="E56" s="213">
        <f>D56-C56</f>
        <v>0</v>
      </c>
      <c r="F56" s="210"/>
      <c r="G56" s="215"/>
      <c r="H56" s="197"/>
      <c r="I56" s="175"/>
    </row>
    <row r="57" spans="2:10" ht="27" customHeight="1" x14ac:dyDescent="0.25">
      <c r="B57" s="197"/>
      <c r="C57" s="216"/>
      <c r="D57" s="197"/>
      <c r="E57" s="207"/>
      <c r="F57" s="206"/>
      <c r="G57" s="217"/>
      <c r="H57" s="305"/>
      <c r="I57" s="219"/>
      <c r="J57" s="220"/>
    </row>
    <row r="58" spans="2:10" ht="13.5" customHeight="1" x14ac:dyDescent="0.25">
      <c r="B58" s="197"/>
      <c r="C58" s="216"/>
      <c r="D58" s="197"/>
      <c r="E58" s="221"/>
      <c r="F58" s="197"/>
      <c r="G58" s="222"/>
      <c r="H58" s="305"/>
      <c r="I58" s="219"/>
      <c r="J58" s="220"/>
    </row>
    <row r="59" spans="2:10" ht="29.25" customHeight="1" x14ac:dyDescent="0.25">
      <c r="B59" s="197"/>
      <c r="C59" s="216"/>
      <c r="D59" s="197"/>
      <c r="E59" s="221"/>
      <c r="F59" s="197"/>
      <c r="G59" s="222"/>
      <c r="H59" s="305"/>
      <c r="I59" s="219"/>
      <c r="J59" s="220"/>
    </row>
    <row r="60" spans="2:10" ht="29.25" customHeight="1" x14ac:dyDescent="0.25">
      <c r="B60" s="197"/>
      <c r="C60" s="216"/>
      <c r="D60" s="197"/>
      <c r="E60" s="221"/>
      <c r="F60" s="197"/>
      <c r="G60" s="222"/>
      <c r="H60" s="305"/>
      <c r="I60" s="219"/>
      <c r="J60" s="220"/>
    </row>
    <row r="61" spans="2:10" ht="29.25" customHeight="1" x14ac:dyDescent="0.25">
      <c r="B61" s="197"/>
      <c r="C61" s="216"/>
      <c r="D61" s="197"/>
      <c r="E61" s="223"/>
      <c r="F61" s="224"/>
      <c r="G61" s="222"/>
      <c r="H61" s="305"/>
      <c r="I61" s="219"/>
      <c r="J61" s="220"/>
    </row>
    <row r="62" spans="2:10" ht="29.25" customHeight="1" x14ac:dyDescent="0.25">
      <c r="B62" s="197"/>
      <c r="C62" s="216"/>
      <c r="D62" s="197"/>
      <c r="E62" s="221"/>
      <c r="F62" s="197"/>
      <c r="G62" s="222"/>
      <c r="H62" s="305"/>
      <c r="I62" s="219"/>
      <c r="J62" s="220"/>
    </row>
    <row r="63" spans="2:10" ht="29.25" customHeight="1" x14ac:dyDescent="0.25">
      <c r="B63" s="197"/>
      <c r="C63" s="216"/>
      <c r="D63" s="197"/>
      <c r="E63" s="205"/>
      <c r="F63" s="206"/>
      <c r="G63" s="225"/>
      <c r="H63" s="305"/>
      <c r="I63" s="219"/>
      <c r="J63" s="220"/>
    </row>
    <row r="64" spans="2:10" ht="24.75" customHeight="1" x14ac:dyDescent="0.25">
      <c r="B64" s="197"/>
      <c r="C64" s="202"/>
      <c r="D64" s="197"/>
      <c r="E64" s="226"/>
      <c r="F64" s="208"/>
      <c r="G64" s="199"/>
      <c r="H64" s="305"/>
      <c r="I64" s="219"/>
      <c r="J64" s="220"/>
    </row>
    <row r="65" spans="2:10" x14ac:dyDescent="0.25">
      <c r="B65" s="227"/>
      <c r="C65" s="202"/>
      <c r="D65" s="202"/>
      <c r="E65" s="226"/>
      <c r="F65" s="208"/>
      <c r="G65" s="177"/>
      <c r="H65" s="218"/>
      <c r="I65" s="228"/>
      <c r="J65" s="229"/>
    </row>
    <row r="66" spans="2:10" x14ac:dyDescent="0.25">
      <c r="B66" s="227"/>
      <c r="C66" s="202"/>
      <c r="D66" s="202"/>
      <c r="E66" s="226"/>
      <c r="F66" s="208"/>
      <c r="G66" s="178"/>
      <c r="H66" s="218"/>
      <c r="I66" s="228"/>
      <c r="J66" s="229"/>
    </row>
    <row r="67" spans="2:10" x14ac:dyDescent="0.25">
      <c r="B67" s="227"/>
      <c r="C67" s="202"/>
      <c r="D67" s="202"/>
      <c r="E67" s="226"/>
      <c r="F67" s="208"/>
      <c r="G67" s="178"/>
      <c r="H67" s="218"/>
      <c r="I67" s="228"/>
      <c r="J67" s="229"/>
    </row>
    <row r="68" spans="2:10" x14ac:dyDescent="0.25">
      <c r="B68" s="227"/>
      <c r="C68" s="202"/>
      <c r="D68" s="202"/>
      <c r="E68" s="230"/>
      <c r="F68" s="206"/>
      <c r="G68" s="199"/>
      <c r="H68" s="218"/>
      <c r="I68" s="228"/>
      <c r="J68" s="229"/>
    </row>
    <row r="69" spans="2:10" x14ac:dyDescent="0.25">
      <c r="B69" s="227"/>
      <c r="C69" s="177"/>
      <c r="D69" s="202"/>
      <c r="E69" s="226"/>
      <c r="F69" s="208"/>
      <c r="G69" s="199"/>
      <c r="H69" s="231"/>
      <c r="I69" s="228"/>
      <c r="J69" s="229"/>
    </row>
    <row r="70" spans="2:10" x14ac:dyDescent="0.25">
      <c r="B70" s="227"/>
      <c r="C70" s="177"/>
      <c r="D70" s="202"/>
      <c r="E70" s="226"/>
      <c r="F70" s="208"/>
      <c r="G70" s="199"/>
      <c r="H70" s="231"/>
      <c r="I70" s="228"/>
      <c r="J70" s="229"/>
    </row>
    <row r="71" spans="2:10" x14ac:dyDescent="0.25">
      <c r="B71" s="227"/>
      <c r="C71" s="177"/>
      <c r="D71" s="202"/>
      <c r="E71" s="205"/>
      <c r="F71" s="206"/>
      <c r="G71" s="177"/>
      <c r="H71" s="231"/>
      <c r="I71" s="228"/>
      <c r="J71" s="229"/>
    </row>
    <row r="72" spans="2:10" ht="19.5" customHeight="1" x14ac:dyDescent="0.25">
      <c r="B72" s="232"/>
      <c r="C72" s="222"/>
      <c r="D72" s="233"/>
      <c r="E72" s="205"/>
      <c r="F72" s="206"/>
      <c r="G72" s="225"/>
      <c r="H72" s="234"/>
      <c r="I72" s="235"/>
    </row>
    <row r="73" spans="2:10" x14ac:dyDescent="0.25">
      <c r="B73" s="227"/>
      <c r="C73" s="177"/>
      <c r="D73" s="202"/>
      <c r="E73" s="236"/>
      <c r="F73" s="237"/>
      <c r="G73" s="177"/>
      <c r="H73" s="231"/>
      <c r="I73" s="228"/>
      <c r="J73" s="229"/>
    </row>
    <row r="74" spans="2:10" x14ac:dyDescent="0.25">
      <c r="B74" s="227"/>
      <c r="C74" s="177"/>
      <c r="D74" s="202"/>
      <c r="E74" s="205"/>
      <c r="F74" s="206"/>
      <c r="G74" s="238"/>
      <c r="H74" s="218"/>
      <c r="I74" s="228"/>
      <c r="J74" s="229"/>
    </row>
    <row r="75" spans="2:10" x14ac:dyDescent="0.25">
      <c r="B75" s="227"/>
      <c r="C75" s="177"/>
      <c r="D75" s="202"/>
      <c r="E75" s="205"/>
      <c r="F75" s="206"/>
      <c r="G75" s="177"/>
      <c r="H75" s="218"/>
      <c r="I75" s="228"/>
      <c r="J75" s="229"/>
    </row>
    <row r="76" spans="2:10" x14ac:dyDescent="0.25">
      <c r="B76" s="227"/>
      <c r="C76" s="177"/>
      <c r="D76" s="202"/>
      <c r="E76" s="205"/>
      <c r="F76" s="206"/>
      <c r="G76" s="177"/>
      <c r="H76" s="218"/>
      <c r="I76" s="228"/>
      <c r="J76" s="229"/>
    </row>
    <row r="77" spans="2:10" x14ac:dyDescent="0.25">
      <c r="B77" s="227"/>
      <c r="C77" s="177"/>
      <c r="D77" s="202"/>
      <c r="E77" s="236"/>
      <c r="F77" s="206"/>
      <c r="G77" s="177"/>
      <c r="H77" s="218"/>
      <c r="I77" s="228"/>
      <c r="J77" s="229"/>
    </row>
    <row r="78" spans="2:10" x14ac:dyDescent="0.25">
      <c r="B78" s="227"/>
      <c r="C78" s="177"/>
      <c r="D78" s="202"/>
      <c r="E78" s="236"/>
      <c r="F78" s="206"/>
      <c r="G78" s="177"/>
      <c r="H78" s="218"/>
      <c r="I78" s="228"/>
      <c r="J78" s="229"/>
    </row>
    <row r="79" spans="2:10" x14ac:dyDescent="0.25">
      <c r="B79" s="227"/>
      <c r="C79" s="177"/>
      <c r="D79" s="202"/>
      <c r="E79" s="236"/>
      <c r="F79" s="206"/>
      <c r="G79" s="177"/>
      <c r="H79" s="218"/>
      <c r="I79" s="228"/>
      <c r="J79" s="229"/>
    </row>
    <row r="80" spans="2:10" x14ac:dyDescent="0.25">
      <c r="B80" s="227"/>
      <c r="C80" s="177"/>
      <c r="D80" s="202"/>
      <c r="E80" s="236"/>
      <c r="F80" s="206"/>
      <c r="G80" s="177"/>
      <c r="H80" s="218"/>
      <c r="I80" s="228"/>
      <c r="J80" s="229"/>
    </row>
    <row r="81" spans="2:10" x14ac:dyDescent="0.25">
      <c r="B81" s="227"/>
      <c r="C81" s="177"/>
      <c r="D81" s="202"/>
      <c r="E81" s="236"/>
      <c r="F81" s="206"/>
      <c r="G81" s="177"/>
      <c r="H81" s="218"/>
      <c r="I81" s="228"/>
      <c r="J81" s="229"/>
    </row>
    <row r="82" spans="2:10" x14ac:dyDescent="0.25">
      <c r="B82" s="227"/>
      <c r="C82" s="177"/>
      <c r="D82" s="202"/>
      <c r="E82" s="236"/>
      <c r="F82" s="206"/>
      <c r="G82" s="177"/>
      <c r="H82" s="218"/>
      <c r="I82" s="228"/>
      <c r="J82" s="229"/>
    </row>
    <row r="83" spans="2:10" x14ac:dyDescent="0.25">
      <c r="B83" s="227"/>
      <c r="C83" s="177"/>
      <c r="D83" s="202"/>
      <c r="E83" s="236"/>
      <c r="F83" s="206"/>
      <c r="G83" s="177"/>
      <c r="H83" s="218"/>
      <c r="I83" s="228"/>
      <c r="J83" s="229"/>
    </row>
    <row r="84" spans="2:10" x14ac:dyDescent="0.25">
      <c r="B84" s="227"/>
      <c r="C84" s="177"/>
      <c r="D84" s="202"/>
      <c r="E84" s="236"/>
      <c r="F84" s="206"/>
      <c r="G84" s="177"/>
      <c r="H84" s="218"/>
      <c r="I84" s="228"/>
      <c r="J84" s="229"/>
    </row>
    <row r="85" spans="2:10" x14ac:dyDescent="0.25">
      <c r="B85" s="227"/>
      <c r="C85" s="177"/>
      <c r="D85" s="202"/>
      <c r="E85" s="236"/>
      <c r="F85" s="206"/>
      <c r="G85" s="177"/>
      <c r="H85" s="218"/>
      <c r="I85" s="228"/>
      <c r="J85" s="229"/>
    </row>
    <row r="86" spans="2:10" x14ac:dyDescent="0.25">
      <c r="B86" s="239" t="s">
        <v>468</v>
      </c>
      <c r="C86" s="212"/>
      <c r="D86" s="212"/>
      <c r="E86" s="213">
        <f>SUM(E57:E85)</f>
        <v>0</v>
      </c>
      <c r="F86" s="240"/>
      <c r="G86" s="241">
        <f>SUM(G57:G85)</f>
        <v>0</v>
      </c>
      <c r="H86" s="198"/>
      <c r="I86" s="242"/>
      <c r="J86" s="229"/>
    </row>
    <row r="87" spans="2:10" x14ac:dyDescent="0.25">
      <c r="B87" s="243"/>
      <c r="C87" s="244"/>
      <c r="D87" s="244"/>
      <c r="E87" s="236"/>
      <c r="F87" s="206"/>
      <c r="G87" s="244"/>
      <c r="H87" s="198"/>
      <c r="I87" s="245"/>
      <c r="J87" s="229"/>
    </row>
    <row r="88" spans="2:10" x14ac:dyDescent="0.25">
      <c r="B88" s="243"/>
      <c r="C88" s="244"/>
      <c r="D88" s="244"/>
      <c r="E88" s="236"/>
      <c r="F88" s="206"/>
      <c r="G88" s="244"/>
      <c r="H88" s="198"/>
      <c r="I88" s="245"/>
      <c r="J88" s="229"/>
    </row>
    <row r="89" spans="2:10" hidden="1" x14ac:dyDescent="0.25">
      <c r="B89" s="243"/>
      <c r="C89" s="244"/>
      <c r="D89" s="244"/>
      <c r="E89" s="236"/>
      <c r="F89" s="206"/>
      <c r="G89" s="244"/>
      <c r="H89" s="198"/>
      <c r="I89" s="245"/>
      <c r="J89" s="229"/>
    </row>
    <row r="90" spans="2:10" hidden="1" x14ac:dyDescent="0.25">
      <c r="B90" s="246"/>
      <c r="C90" s="244"/>
      <c r="D90" s="247"/>
      <c r="E90" s="236"/>
      <c r="F90" s="206"/>
      <c r="G90" s="244"/>
      <c r="H90" s="197"/>
    </row>
    <row r="91" spans="2:10" x14ac:dyDescent="0.25">
      <c r="B91" s="239" t="s">
        <v>469</v>
      </c>
      <c r="C91" s="212"/>
      <c r="D91" s="212"/>
      <c r="E91" s="213">
        <f>SUM(E87:E90)</f>
        <v>0</v>
      </c>
      <c r="F91" s="240"/>
      <c r="G91" s="212">
        <f>SUM(G87:G90)</f>
        <v>0</v>
      </c>
      <c r="H91" s="197"/>
    </row>
    <row r="92" spans="2:10" hidden="1" x14ac:dyDescent="0.25">
      <c r="B92" s="246"/>
      <c r="C92" s="247"/>
      <c r="D92" s="247"/>
      <c r="E92" s="223"/>
      <c r="F92" s="248"/>
      <c r="G92" s="247"/>
      <c r="H92" s="197"/>
    </row>
    <row r="93" spans="2:10" ht="18.75" hidden="1" customHeight="1" x14ac:dyDescent="0.25">
      <c r="B93" s="246"/>
      <c r="C93" s="247"/>
      <c r="D93" s="247"/>
      <c r="E93" s="221"/>
      <c r="F93" s="248"/>
      <c r="G93" s="247"/>
      <c r="H93" s="197"/>
    </row>
    <row r="94" spans="2:10" ht="15.75" hidden="1" customHeight="1" x14ac:dyDescent="0.25">
      <c r="B94" s="246"/>
      <c r="C94" s="247"/>
      <c r="D94" s="247"/>
      <c r="E94" s="221"/>
      <c r="F94" s="206"/>
      <c r="G94" s="247"/>
      <c r="H94" s="197"/>
    </row>
    <row r="95" spans="2:10" ht="15" hidden="1" customHeight="1" x14ac:dyDescent="0.25">
      <c r="B95" s="246"/>
      <c r="C95" s="244"/>
      <c r="D95" s="247"/>
      <c r="E95" s="223"/>
      <c r="F95" s="224"/>
      <c r="G95" s="244"/>
      <c r="H95" s="234"/>
      <c r="I95" s="235"/>
    </row>
    <row r="96" spans="2:10" x14ac:dyDescent="0.25">
      <c r="B96" s="239" t="s">
        <v>470</v>
      </c>
      <c r="C96" s="212"/>
      <c r="D96" s="212"/>
      <c r="E96" s="213">
        <f>SUM(E92:E95)</f>
        <v>0</v>
      </c>
      <c r="F96" s="240"/>
      <c r="G96" s="212">
        <f>SUM(G92:G95)</f>
        <v>0</v>
      </c>
      <c r="H96" s="306"/>
      <c r="I96" s="235"/>
    </row>
    <row r="97" spans="2:10" x14ac:dyDescent="0.25">
      <c r="B97" s="232"/>
      <c r="C97" s="222"/>
      <c r="D97" s="233"/>
      <c r="E97" s="236"/>
      <c r="F97" s="237"/>
      <c r="G97" s="249"/>
      <c r="H97" s="306"/>
      <c r="I97" s="235"/>
    </row>
    <row r="98" spans="2:10" x14ac:dyDescent="0.25">
      <c r="B98" s="232"/>
      <c r="C98" s="222"/>
      <c r="D98" s="233"/>
      <c r="E98" s="236"/>
      <c r="F98" s="237"/>
      <c r="G98" s="217"/>
      <c r="H98" s="234"/>
      <c r="I98" s="235"/>
    </row>
    <row r="99" spans="2:10" x14ac:dyDescent="0.25">
      <c r="B99" s="232"/>
      <c r="C99" s="222"/>
      <c r="D99" s="233"/>
      <c r="E99" s="207"/>
      <c r="F99" s="206"/>
      <c r="G99" s="217"/>
      <c r="H99" s="234"/>
      <c r="I99" s="235"/>
    </row>
    <row r="100" spans="2:10" x14ac:dyDescent="0.25">
      <c r="B100" s="232"/>
      <c r="C100" s="222"/>
      <c r="D100" s="233"/>
      <c r="E100" s="207"/>
      <c r="F100" s="206"/>
      <c r="G100" s="217"/>
      <c r="H100" s="234"/>
      <c r="I100" s="235"/>
    </row>
    <row r="101" spans="2:10" x14ac:dyDescent="0.25">
      <c r="B101" s="232"/>
      <c r="C101" s="222"/>
      <c r="D101" s="233"/>
      <c r="E101" s="207"/>
      <c r="F101" s="206"/>
      <c r="G101" s="217"/>
      <c r="H101" s="234"/>
      <c r="I101" s="235"/>
    </row>
    <row r="102" spans="2:10" ht="30.75" customHeight="1" x14ac:dyDescent="0.25">
      <c r="B102" s="232"/>
      <c r="C102" s="222"/>
      <c r="D102" s="233"/>
      <c r="E102" s="205"/>
      <c r="F102" s="206"/>
      <c r="G102" s="217"/>
      <c r="H102" s="234"/>
      <c r="I102" s="235"/>
    </row>
    <row r="103" spans="2:10" ht="30.75" hidden="1" customHeight="1" x14ac:dyDescent="0.25">
      <c r="B103" s="232"/>
      <c r="C103" s="222"/>
      <c r="D103" s="233"/>
      <c r="E103" s="234"/>
      <c r="F103" s="197"/>
      <c r="G103" s="217"/>
      <c r="H103" s="234"/>
      <c r="I103" s="235"/>
    </row>
    <row r="104" spans="2:10" ht="28.5" hidden="1" customHeight="1" x14ac:dyDescent="0.25">
      <c r="B104" s="232"/>
      <c r="C104" s="222"/>
      <c r="D104" s="233"/>
      <c r="E104" s="236"/>
      <c r="F104" s="237"/>
      <c r="G104" s="217"/>
      <c r="H104" s="234"/>
      <c r="I104" s="235"/>
    </row>
    <row r="105" spans="2:10" ht="28.5" hidden="1" customHeight="1" x14ac:dyDescent="0.25">
      <c r="B105" s="232"/>
      <c r="C105" s="222"/>
      <c r="D105" s="233"/>
      <c r="E105" s="207"/>
      <c r="F105" s="206"/>
      <c r="G105" s="217"/>
      <c r="H105" s="234"/>
      <c r="I105" s="235"/>
    </row>
    <row r="106" spans="2:10" ht="28.5" hidden="1" customHeight="1" x14ac:dyDescent="0.25">
      <c r="B106" s="232"/>
      <c r="C106" s="222"/>
      <c r="D106" s="233"/>
      <c r="E106" s="207"/>
      <c r="F106" s="206"/>
      <c r="G106" s="217"/>
      <c r="H106" s="234"/>
      <c r="I106" s="235"/>
    </row>
    <row r="107" spans="2:10" ht="28.5" hidden="1" customHeight="1" x14ac:dyDescent="0.25">
      <c r="B107" s="232"/>
      <c r="C107" s="222"/>
      <c r="D107" s="233"/>
      <c r="E107" s="205"/>
      <c r="F107" s="206"/>
      <c r="G107" s="217"/>
      <c r="H107" s="234"/>
      <c r="I107" s="235"/>
    </row>
    <row r="108" spans="2:10" ht="22.5" hidden="1" customHeight="1" x14ac:dyDescent="0.25">
      <c r="B108" s="232"/>
      <c r="C108" s="222"/>
      <c r="D108" s="233"/>
      <c r="E108" s="236"/>
      <c r="F108" s="206"/>
      <c r="G108" s="217"/>
      <c r="H108" s="197"/>
      <c r="I108" s="250"/>
    </row>
    <row r="109" spans="2:10" x14ac:dyDescent="0.25">
      <c r="B109" s="211" t="s">
        <v>471</v>
      </c>
      <c r="C109" s="212"/>
      <c r="D109" s="212"/>
      <c r="E109" s="213">
        <f>SUM(E97:E108)</f>
        <v>0</v>
      </c>
      <c r="F109" s="251"/>
      <c r="G109" s="241">
        <f>SUM(G97:G108)</f>
        <v>0</v>
      </c>
      <c r="H109" s="198"/>
      <c r="I109" s="200"/>
      <c r="J109" s="252"/>
    </row>
    <row r="110" spans="2:10" ht="39.75" customHeight="1" x14ac:dyDescent="0.25">
      <c r="B110" s="232"/>
      <c r="C110" s="177"/>
      <c r="D110" s="177"/>
      <c r="E110" s="207"/>
      <c r="F110" s="206"/>
      <c r="G110" s="238"/>
      <c r="H110" s="197"/>
    </row>
    <row r="111" spans="2:10" ht="26.25" customHeight="1" x14ac:dyDescent="0.25">
      <c r="B111" s="232"/>
      <c r="C111" s="177"/>
      <c r="D111" s="177"/>
      <c r="E111" s="236"/>
      <c r="F111" s="237"/>
      <c r="G111" s="238"/>
      <c r="H111" s="197"/>
    </row>
    <row r="112" spans="2:10" ht="32.25" customHeight="1" x14ac:dyDescent="0.25">
      <c r="B112" s="232"/>
      <c r="C112" s="177"/>
      <c r="D112" s="177"/>
      <c r="E112" s="236"/>
      <c r="F112" s="237"/>
      <c r="G112" s="178"/>
      <c r="H112" s="197"/>
    </row>
    <row r="113" spans="2:8" ht="34.5" customHeight="1" x14ac:dyDescent="0.25">
      <c r="B113" s="232"/>
      <c r="C113" s="177"/>
      <c r="D113" s="177"/>
      <c r="E113" s="236"/>
      <c r="F113" s="206"/>
      <c r="G113" s="178"/>
      <c r="H113" s="197"/>
    </row>
    <row r="114" spans="2:8" ht="23.25" customHeight="1" x14ac:dyDescent="0.25">
      <c r="B114" s="232"/>
      <c r="C114" s="177"/>
      <c r="D114" s="177"/>
      <c r="E114" s="207"/>
      <c r="F114" s="206"/>
      <c r="G114" s="178"/>
      <c r="H114" s="197"/>
    </row>
    <row r="115" spans="2:8" ht="24" customHeight="1" x14ac:dyDescent="0.25">
      <c r="B115" s="232"/>
      <c r="C115" s="177"/>
      <c r="D115" s="177"/>
      <c r="E115" s="207"/>
      <c r="F115" s="206"/>
      <c r="G115" s="178"/>
      <c r="H115" s="197"/>
    </row>
    <row r="116" spans="2:8" ht="24" customHeight="1" x14ac:dyDescent="0.25">
      <c r="B116" s="232"/>
      <c r="C116" s="177"/>
      <c r="D116" s="177"/>
      <c r="E116" s="207"/>
      <c r="F116" s="206"/>
      <c r="G116" s="178"/>
      <c r="H116" s="197"/>
    </row>
    <row r="117" spans="2:8" ht="24" customHeight="1" x14ac:dyDescent="0.25">
      <c r="B117" s="232"/>
      <c r="C117" s="177"/>
      <c r="D117" s="177"/>
      <c r="E117" s="205"/>
      <c r="F117" s="253"/>
      <c r="G117" s="178"/>
      <c r="H117" s="197"/>
    </row>
    <row r="118" spans="2:8" ht="23.25" customHeight="1" x14ac:dyDescent="0.25">
      <c r="B118" s="232"/>
      <c r="C118" s="177"/>
      <c r="D118" s="177"/>
      <c r="E118" s="205"/>
      <c r="F118" s="253"/>
      <c r="G118" s="178"/>
      <c r="H118" s="197"/>
    </row>
    <row r="119" spans="2:8" ht="27" customHeight="1" x14ac:dyDescent="0.25">
      <c r="B119" s="232"/>
      <c r="C119" s="177"/>
      <c r="D119" s="177"/>
      <c r="E119" s="230"/>
      <c r="F119" s="206"/>
      <c r="G119" s="178"/>
      <c r="H119" s="197"/>
    </row>
    <row r="120" spans="2:8" ht="22.5" customHeight="1" x14ac:dyDescent="0.25">
      <c r="B120" s="232"/>
      <c r="C120" s="177"/>
      <c r="D120" s="177"/>
      <c r="E120" s="205"/>
      <c r="F120" s="253"/>
      <c r="G120" s="178"/>
      <c r="H120" s="197"/>
    </row>
    <row r="121" spans="2:8" ht="24" customHeight="1" x14ac:dyDescent="0.25">
      <c r="B121" s="232"/>
      <c r="C121" s="177"/>
      <c r="D121" s="177"/>
      <c r="E121" s="205"/>
      <c r="F121" s="253"/>
      <c r="G121" s="178"/>
      <c r="H121" s="197"/>
    </row>
    <row r="122" spans="2:8" ht="24" customHeight="1" x14ac:dyDescent="0.25">
      <c r="B122" s="232"/>
      <c r="C122" s="177"/>
      <c r="D122" s="177"/>
      <c r="E122" s="205"/>
      <c r="F122" s="253"/>
      <c r="G122" s="178"/>
      <c r="H122" s="197"/>
    </row>
    <row r="123" spans="2:8" ht="24.75" customHeight="1" x14ac:dyDescent="0.25">
      <c r="B123" s="232"/>
      <c r="C123" s="177"/>
      <c r="D123" s="177"/>
      <c r="E123" s="205"/>
      <c r="F123" s="206"/>
      <c r="G123" s="178"/>
      <c r="H123" s="197"/>
    </row>
    <row r="124" spans="2:8" ht="27.75" customHeight="1" x14ac:dyDescent="0.25">
      <c r="B124" s="232"/>
      <c r="C124" s="177"/>
      <c r="D124" s="177"/>
      <c r="E124" s="236"/>
      <c r="F124" s="206"/>
      <c r="G124" s="178"/>
      <c r="H124" s="197"/>
    </row>
    <row r="125" spans="2:8" ht="27.75" customHeight="1" x14ac:dyDescent="0.25">
      <c r="B125" s="232"/>
      <c r="C125" s="177"/>
      <c r="D125" s="177"/>
      <c r="E125" s="230"/>
      <c r="F125" s="206"/>
      <c r="G125" s="178"/>
      <c r="H125" s="197"/>
    </row>
    <row r="126" spans="2:8" ht="27.75" customHeight="1" x14ac:dyDescent="0.25">
      <c r="B126" s="232"/>
      <c r="C126" s="177"/>
      <c r="D126" s="177"/>
      <c r="E126" s="205"/>
      <c r="F126" s="206"/>
      <c r="G126" s="178"/>
      <c r="H126" s="197"/>
    </row>
    <row r="127" spans="2:8" ht="27.75" customHeight="1" x14ac:dyDescent="0.25">
      <c r="B127" s="232"/>
      <c r="C127" s="177"/>
      <c r="D127" s="177"/>
      <c r="E127" s="205"/>
      <c r="F127" s="206"/>
      <c r="G127" s="178"/>
      <c r="H127" s="197"/>
    </row>
    <row r="128" spans="2:8" ht="27.75" customHeight="1" x14ac:dyDescent="0.25">
      <c r="B128" s="232"/>
      <c r="C128" s="177"/>
      <c r="D128" s="177"/>
      <c r="E128" s="205"/>
      <c r="F128" s="206"/>
      <c r="G128" s="178"/>
      <c r="H128" s="197"/>
    </row>
    <row r="129" spans="2:8" ht="10.5" customHeight="1" x14ac:dyDescent="0.25">
      <c r="B129" s="232"/>
      <c r="C129" s="177"/>
      <c r="D129" s="177"/>
      <c r="E129" s="236"/>
      <c r="F129" s="237"/>
      <c r="G129" s="178"/>
      <c r="H129" s="197"/>
    </row>
    <row r="130" spans="2:8" x14ac:dyDescent="0.25">
      <c r="B130" s="211" t="s">
        <v>472</v>
      </c>
      <c r="C130" s="212"/>
      <c r="D130" s="212"/>
      <c r="E130" s="213">
        <f>SUM(E110:E129)</f>
        <v>0</v>
      </c>
      <c r="F130" s="240"/>
      <c r="G130" s="241">
        <f>SUM(G110:G129)</f>
        <v>0</v>
      </c>
      <c r="H130" s="198"/>
    </row>
    <row r="131" spans="2:8" ht="12" customHeight="1" x14ac:dyDescent="0.25">
      <c r="B131" s="232"/>
      <c r="C131" s="177"/>
      <c r="D131" s="244"/>
      <c r="E131" s="221"/>
      <c r="F131" s="224"/>
      <c r="G131" s="177"/>
      <c r="H131" s="197"/>
    </row>
    <row r="132" spans="2:8" x14ac:dyDescent="0.25">
      <c r="B132" s="211" t="s">
        <v>473</v>
      </c>
      <c r="C132" s="212"/>
      <c r="D132" s="212"/>
      <c r="E132" s="213"/>
      <c r="F132" s="254"/>
      <c r="G132" s="212">
        <f>D132-C132</f>
        <v>0</v>
      </c>
      <c r="H132" s="197"/>
    </row>
    <row r="133" spans="2:8" ht="23.25" customHeight="1" x14ac:dyDescent="0.25">
      <c r="B133" s="255"/>
      <c r="C133" s="177"/>
      <c r="D133" s="244"/>
      <c r="E133" s="205">
        <v>200000</v>
      </c>
      <c r="F133" s="206" t="s">
        <v>474</v>
      </c>
      <c r="G133" s="178"/>
      <c r="H133" s="198"/>
    </row>
    <row r="134" spans="2:8" x14ac:dyDescent="0.25">
      <c r="B134" s="255"/>
      <c r="C134" s="199"/>
      <c r="D134" s="244"/>
      <c r="E134" s="205">
        <v>-623818</v>
      </c>
      <c r="F134" s="256" t="s">
        <v>475</v>
      </c>
      <c r="G134" s="238"/>
      <c r="H134" s="198"/>
    </row>
    <row r="135" spans="2:8" ht="28.5" customHeight="1" x14ac:dyDescent="0.25">
      <c r="B135" s="255"/>
      <c r="C135" s="199"/>
      <c r="D135" s="244"/>
      <c r="E135" s="205">
        <v>106500</v>
      </c>
      <c r="F135" s="257" t="s">
        <v>476</v>
      </c>
      <c r="G135" s="238"/>
      <c r="H135" s="198"/>
    </row>
    <row r="136" spans="2:8" ht="27" customHeight="1" x14ac:dyDescent="0.25">
      <c r="B136" s="255"/>
      <c r="C136" s="199"/>
      <c r="D136" s="244"/>
      <c r="E136" s="205">
        <v>76000</v>
      </c>
      <c r="F136" s="206" t="s">
        <v>477</v>
      </c>
      <c r="G136" s="238"/>
      <c r="H136" s="198"/>
    </row>
    <row r="137" spans="2:8" ht="28.5" customHeight="1" x14ac:dyDescent="0.25">
      <c r="B137" s="255"/>
      <c r="C137" s="199"/>
      <c r="D137" s="244"/>
      <c r="E137" s="236">
        <v>76000</v>
      </c>
      <c r="F137" s="206" t="s">
        <v>478</v>
      </c>
      <c r="G137" s="238"/>
      <c r="H137" s="198"/>
    </row>
    <row r="138" spans="2:8" ht="27" customHeight="1" x14ac:dyDescent="0.25">
      <c r="B138" s="255"/>
      <c r="C138" s="199"/>
      <c r="D138" s="244"/>
      <c r="E138" s="230">
        <v>145000</v>
      </c>
      <c r="F138" s="206" t="s">
        <v>479</v>
      </c>
      <c r="G138" s="238"/>
      <c r="H138" s="198"/>
    </row>
    <row r="139" spans="2:8" ht="27" customHeight="1" x14ac:dyDescent="0.25">
      <c r="B139" s="255"/>
      <c r="C139" s="199"/>
      <c r="D139" s="244"/>
      <c r="E139" s="230">
        <v>30000</v>
      </c>
      <c r="F139" s="206" t="s">
        <v>480</v>
      </c>
      <c r="G139" s="238"/>
      <c r="H139" s="198"/>
    </row>
    <row r="140" spans="2:8" ht="27" customHeight="1" x14ac:dyDescent="0.25">
      <c r="B140" s="255"/>
      <c r="C140" s="199"/>
      <c r="D140" s="244"/>
      <c r="E140" s="205">
        <v>6800</v>
      </c>
      <c r="F140" s="206" t="s">
        <v>481</v>
      </c>
      <c r="G140" s="258"/>
      <c r="H140" s="198"/>
    </row>
    <row r="141" spans="2:8" ht="27" customHeight="1" x14ac:dyDescent="0.25">
      <c r="B141" s="255"/>
      <c r="C141" s="199"/>
      <c r="D141" s="244"/>
      <c r="E141" s="205">
        <v>183518</v>
      </c>
      <c r="F141" s="206" t="s">
        <v>482</v>
      </c>
      <c r="G141" s="238"/>
      <c r="H141" s="198"/>
    </row>
    <row r="142" spans="2:8" ht="27" customHeight="1" x14ac:dyDescent="0.25">
      <c r="B142" s="255"/>
      <c r="C142" s="199"/>
      <c r="D142" s="244"/>
      <c r="E142" s="205">
        <v>138000</v>
      </c>
      <c r="F142" s="206" t="s">
        <v>483</v>
      </c>
      <c r="G142" s="238"/>
      <c r="H142" s="198"/>
    </row>
    <row r="143" spans="2:8" ht="27" customHeight="1" x14ac:dyDescent="0.25">
      <c r="B143" s="255"/>
      <c r="C143" s="199"/>
      <c r="D143" s="244"/>
      <c r="E143" s="205">
        <v>-504.24</v>
      </c>
      <c r="F143" s="206" t="s">
        <v>484</v>
      </c>
      <c r="G143" s="238"/>
      <c r="H143" s="198"/>
    </row>
    <row r="144" spans="2:8" ht="27" hidden="1" customHeight="1" x14ac:dyDescent="0.25">
      <c r="B144" s="255"/>
      <c r="C144" s="199"/>
      <c r="D144" s="244"/>
      <c r="E144" s="205"/>
      <c r="F144" s="206"/>
      <c r="G144" s="238"/>
      <c r="H144" s="198"/>
    </row>
    <row r="145" spans="2:8" ht="27" hidden="1" customHeight="1" x14ac:dyDescent="0.25">
      <c r="B145" s="255"/>
      <c r="C145" s="199"/>
      <c r="D145" s="244"/>
      <c r="E145" s="205"/>
      <c r="F145" s="206"/>
      <c r="G145" s="238"/>
      <c r="H145" s="198"/>
    </row>
    <row r="146" spans="2:8" ht="27" hidden="1" customHeight="1" x14ac:dyDescent="0.25">
      <c r="B146" s="255"/>
      <c r="C146" s="199"/>
      <c r="D146" s="244"/>
      <c r="E146" s="205"/>
      <c r="F146" s="206"/>
      <c r="G146" s="238"/>
      <c r="H146" s="198"/>
    </row>
    <row r="147" spans="2:8" ht="27" hidden="1" customHeight="1" x14ac:dyDescent="0.25">
      <c r="B147" s="255"/>
      <c r="C147" s="199"/>
      <c r="D147" s="244"/>
      <c r="E147" s="205"/>
      <c r="F147" s="206"/>
      <c r="G147" s="238"/>
      <c r="H147" s="198"/>
    </row>
    <row r="148" spans="2:8" ht="27" hidden="1" customHeight="1" x14ac:dyDescent="0.25">
      <c r="B148" s="255"/>
      <c r="C148" s="199"/>
      <c r="D148" s="244"/>
      <c r="E148" s="205"/>
      <c r="F148" s="206"/>
      <c r="G148" s="238"/>
      <c r="H148" s="198"/>
    </row>
    <row r="149" spans="2:8" ht="27" hidden="1" customHeight="1" x14ac:dyDescent="0.25">
      <c r="B149" s="255"/>
      <c r="C149" s="199"/>
      <c r="D149" s="244"/>
      <c r="E149" s="205"/>
      <c r="F149" s="206"/>
      <c r="G149" s="238"/>
      <c r="H149" s="198"/>
    </row>
    <row r="150" spans="2:8" hidden="1" x14ac:dyDescent="0.25">
      <c r="B150" s="255"/>
      <c r="C150" s="222"/>
      <c r="D150" s="244"/>
      <c r="E150" s="205"/>
      <c r="F150" s="256"/>
      <c r="G150" s="258"/>
      <c r="H150" s="197"/>
    </row>
    <row r="151" spans="2:8" ht="37.5" hidden="1" customHeight="1" x14ac:dyDescent="0.25">
      <c r="B151" s="255"/>
      <c r="C151" s="199"/>
      <c r="D151" s="244"/>
      <c r="E151" s="205"/>
      <c r="F151" s="206"/>
      <c r="G151" s="238"/>
      <c r="H151" s="197"/>
    </row>
    <row r="152" spans="2:8" hidden="1" x14ac:dyDescent="0.25">
      <c r="B152" s="255"/>
      <c r="C152" s="199"/>
      <c r="D152" s="244"/>
      <c r="E152" s="226"/>
      <c r="F152" s="208"/>
      <c r="G152" s="258"/>
      <c r="H152" s="197"/>
    </row>
    <row r="153" spans="2:8" hidden="1" x14ac:dyDescent="0.25">
      <c r="B153" s="255"/>
      <c r="C153" s="199"/>
      <c r="D153" s="244"/>
      <c r="E153" s="205"/>
      <c r="F153" s="256"/>
      <c r="G153" s="238"/>
      <c r="H153" s="197"/>
    </row>
    <row r="154" spans="2:8" ht="30" hidden="1" customHeight="1" x14ac:dyDescent="0.25">
      <c r="B154" s="255"/>
      <c r="C154" s="199"/>
      <c r="D154" s="244"/>
      <c r="E154" s="205"/>
      <c r="F154" s="206"/>
      <c r="G154" s="238"/>
      <c r="H154" s="197"/>
    </row>
    <row r="155" spans="2:8" ht="44.25" hidden="1" customHeight="1" x14ac:dyDescent="0.25">
      <c r="B155" s="255"/>
      <c r="C155" s="199"/>
      <c r="D155" s="244"/>
      <c r="E155" s="205"/>
      <c r="F155" s="206"/>
      <c r="G155" s="238"/>
      <c r="H155" s="197"/>
    </row>
    <row r="156" spans="2:8" ht="30" hidden="1" customHeight="1" x14ac:dyDescent="0.25">
      <c r="B156" s="255"/>
      <c r="C156" s="307"/>
      <c r="D156" s="244"/>
      <c r="E156" s="205"/>
      <c r="F156" s="206"/>
      <c r="G156" s="308"/>
      <c r="H156" s="197"/>
    </row>
    <row r="157" spans="2:8" ht="15.75" hidden="1" customHeight="1" x14ac:dyDescent="0.25">
      <c r="B157" s="255"/>
      <c r="C157" s="307"/>
      <c r="D157" s="244"/>
      <c r="E157" s="205"/>
      <c r="F157" s="256"/>
      <c r="G157" s="308"/>
      <c r="H157" s="197"/>
    </row>
    <row r="158" spans="2:8" ht="15.75" hidden="1" customHeight="1" x14ac:dyDescent="0.25">
      <c r="B158" s="255"/>
      <c r="C158" s="222"/>
      <c r="D158" s="244"/>
      <c r="E158" s="223"/>
      <c r="F158" s="259"/>
      <c r="G158" s="222"/>
      <c r="H158" s="197"/>
    </row>
    <row r="159" spans="2:8" ht="15.75" hidden="1" customHeight="1" x14ac:dyDescent="0.25">
      <c r="B159" s="255"/>
      <c r="C159" s="199"/>
      <c r="D159" s="244"/>
      <c r="E159" s="223"/>
      <c r="F159" s="259"/>
      <c r="G159" s="199"/>
      <c r="H159" s="197"/>
    </row>
    <row r="160" spans="2:8" ht="15.75" hidden="1" customHeight="1" x14ac:dyDescent="0.25">
      <c r="B160" s="255"/>
      <c r="C160" s="199"/>
      <c r="D160" s="244"/>
      <c r="E160" s="223"/>
      <c r="F160" s="259"/>
      <c r="G160" s="199"/>
      <c r="H160" s="197"/>
    </row>
    <row r="161" spans="2:9" ht="27" hidden="1" customHeight="1" x14ac:dyDescent="0.25">
      <c r="B161" s="255"/>
      <c r="C161" s="199"/>
      <c r="D161" s="244"/>
      <c r="E161" s="223"/>
      <c r="F161" s="259"/>
      <c r="G161" s="199"/>
      <c r="H161" s="197"/>
    </row>
    <row r="162" spans="2:9" ht="27" hidden="1" customHeight="1" x14ac:dyDescent="0.25">
      <c r="B162" s="255"/>
      <c r="C162" s="199"/>
      <c r="D162" s="244"/>
      <c r="E162" s="223"/>
      <c r="F162" s="259"/>
      <c r="G162" s="199"/>
      <c r="H162" s="197"/>
    </row>
    <row r="163" spans="2:9" ht="15.75" hidden="1" customHeight="1" x14ac:dyDescent="0.25">
      <c r="B163" s="255"/>
      <c r="C163" s="177"/>
      <c r="D163" s="244"/>
      <c r="E163" s="260"/>
      <c r="F163" s="176"/>
      <c r="G163" s="177"/>
      <c r="H163" s="197"/>
    </row>
    <row r="164" spans="2:9" ht="15.75" customHeight="1" x14ac:dyDescent="0.25">
      <c r="B164" s="211" t="s">
        <v>485</v>
      </c>
      <c r="C164" s="212"/>
      <c r="D164" s="212"/>
      <c r="E164" s="213">
        <f>SUM(E133:E163)</f>
        <v>337495.76</v>
      </c>
      <c r="F164" s="251"/>
      <c r="G164" s="212">
        <f>SUM(G133:G163)</f>
        <v>0</v>
      </c>
      <c r="H164" s="198"/>
      <c r="I164" s="200"/>
    </row>
    <row r="165" spans="2:9" ht="24" customHeight="1" x14ac:dyDescent="0.25">
      <c r="B165" s="232"/>
      <c r="C165" s="202"/>
      <c r="D165" s="177"/>
      <c r="E165" s="207">
        <v>154310</v>
      </c>
      <c r="F165" s="206" t="s">
        <v>486</v>
      </c>
      <c r="G165" s="178"/>
      <c r="H165" s="248"/>
      <c r="I165" s="185"/>
    </row>
    <row r="166" spans="2:9" ht="24.75" customHeight="1" x14ac:dyDescent="0.25">
      <c r="B166" s="232"/>
      <c r="C166" s="216"/>
      <c r="D166" s="177"/>
      <c r="E166" s="221">
        <v>182560</v>
      </c>
      <c r="F166" s="261" t="s">
        <v>487</v>
      </c>
      <c r="G166" s="238"/>
      <c r="H166" s="248"/>
      <c r="I166" s="185"/>
    </row>
    <row r="167" spans="2:9" ht="44.25" customHeight="1" x14ac:dyDescent="0.25">
      <c r="B167" s="232"/>
      <c r="C167" s="248"/>
      <c r="D167" s="177"/>
      <c r="E167" s="207">
        <v>100000</v>
      </c>
      <c r="F167" s="206" t="s">
        <v>488</v>
      </c>
      <c r="G167" s="237"/>
      <c r="H167" s="248"/>
      <c r="I167" s="185"/>
    </row>
    <row r="168" spans="2:9" ht="44.25" customHeight="1" x14ac:dyDescent="0.25">
      <c r="B168" s="232"/>
      <c r="C168" s="248"/>
      <c r="D168" s="177"/>
      <c r="E168" s="262">
        <v>177504.24</v>
      </c>
      <c r="F168" s="208" t="s">
        <v>489</v>
      </c>
      <c r="G168" s="237"/>
      <c r="H168" s="248"/>
      <c r="I168" s="185"/>
    </row>
    <row r="169" spans="2:9" ht="35.25" hidden="1" customHeight="1" x14ac:dyDescent="0.25">
      <c r="B169" s="232"/>
      <c r="C169" s="248"/>
      <c r="D169" s="177"/>
      <c r="E169" s="207"/>
      <c r="F169" s="206"/>
      <c r="G169" s="237"/>
      <c r="H169" s="248"/>
      <c r="I169" s="185"/>
    </row>
    <row r="170" spans="2:9" ht="35.25" hidden="1" customHeight="1" x14ac:dyDescent="0.25">
      <c r="B170" s="232"/>
      <c r="C170" s="248"/>
      <c r="D170" s="177"/>
      <c r="E170" s="236"/>
      <c r="F170" s="206"/>
      <c r="G170" s="237"/>
      <c r="H170" s="248"/>
      <c r="I170" s="185"/>
    </row>
    <row r="171" spans="2:9" ht="35.25" hidden="1" customHeight="1" x14ac:dyDescent="0.25">
      <c r="B171" s="232"/>
      <c r="C171" s="248"/>
      <c r="D171" s="177"/>
      <c r="E171" s="236"/>
      <c r="F171" s="206"/>
      <c r="G171" s="237"/>
      <c r="H171" s="248"/>
      <c r="I171" s="185"/>
    </row>
    <row r="172" spans="2:9" ht="35.25" hidden="1" customHeight="1" x14ac:dyDescent="0.25">
      <c r="B172" s="232"/>
      <c r="C172" s="202"/>
      <c r="D172" s="177"/>
      <c r="E172" s="221"/>
      <c r="F172" s="206"/>
      <c r="G172" s="177"/>
      <c r="H172" s="248"/>
      <c r="I172" s="185"/>
    </row>
    <row r="173" spans="2:9" ht="35.25" hidden="1" customHeight="1" x14ac:dyDescent="0.25">
      <c r="B173" s="232"/>
      <c r="C173" s="202"/>
      <c r="D173" s="177"/>
      <c r="E173" s="205"/>
      <c r="F173" s="206"/>
      <c r="G173" s="177"/>
      <c r="H173" s="248"/>
      <c r="I173" s="185"/>
    </row>
    <row r="174" spans="2:9" ht="35.25" hidden="1" customHeight="1" x14ac:dyDescent="0.25">
      <c r="B174" s="232"/>
      <c r="C174" s="202"/>
      <c r="D174" s="177"/>
      <c r="E174" s="221"/>
      <c r="F174" s="248"/>
      <c r="G174" s="177"/>
      <c r="H174" s="248"/>
      <c r="I174" s="185"/>
    </row>
    <row r="175" spans="2:9" ht="35.25" hidden="1" customHeight="1" x14ac:dyDescent="0.25">
      <c r="B175" s="232"/>
      <c r="C175" s="202"/>
      <c r="D175" s="177"/>
      <c r="E175" s="221"/>
      <c r="F175" s="248"/>
      <c r="G175" s="177"/>
      <c r="H175" s="248"/>
      <c r="I175" s="185"/>
    </row>
    <row r="176" spans="2:9" ht="35.25" hidden="1" customHeight="1" x14ac:dyDescent="0.25">
      <c r="B176" s="232"/>
      <c r="C176" s="177"/>
      <c r="D176" s="177"/>
      <c r="E176" s="221"/>
      <c r="F176" s="248"/>
      <c r="G176" s="177"/>
      <c r="H176" s="248"/>
      <c r="I176" s="185"/>
    </row>
    <row r="177" spans="2:9" ht="35.25" hidden="1" customHeight="1" x14ac:dyDescent="0.25">
      <c r="B177" s="232"/>
      <c r="C177" s="177"/>
      <c r="D177" s="177"/>
      <c r="E177" s="221"/>
      <c r="F177" s="248"/>
      <c r="G177" s="177"/>
      <c r="H177" s="248"/>
      <c r="I177" s="185"/>
    </row>
    <row r="178" spans="2:9" ht="30" hidden="1" customHeight="1" x14ac:dyDescent="0.25">
      <c r="B178" s="232"/>
      <c r="C178" s="202"/>
      <c r="D178" s="177"/>
      <c r="E178" s="221"/>
      <c r="F178" s="248"/>
      <c r="G178" s="177"/>
      <c r="H178" s="248"/>
      <c r="I178" s="185"/>
    </row>
    <row r="179" spans="2:9" ht="22.5" customHeight="1" x14ac:dyDescent="0.25">
      <c r="B179" s="211" t="s">
        <v>490</v>
      </c>
      <c r="C179" s="212"/>
      <c r="D179" s="212"/>
      <c r="E179" s="213">
        <f>SUM(E165:E178)</f>
        <v>614374.24</v>
      </c>
      <c r="F179" s="263"/>
      <c r="G179" s="212">
        <f>SUM(G165:G178)</f>
        <v>0</v>
      </c>
      <c r="H179" s="198"/>
    </row>
    <row r="180" spans="2:9" ht="96" x14ac:dyDescent="0.25">
      <c r="B180" s="255"/>
      <c r="C180" s="244"/>
      <c r="D180" s="247"/>
      <c r="E180" s="207">
        <v>-1500000</v>
      </c>
      <c r="F180" s="206" t="s">
        <v>360</v>
      </c>
      <c r="G180" s="264"/>
      <c r="H180" s="198"/>
    </row>
    <row r="181" spans="2:9" x14ac:dyDescent="0.25">
      <c r="B181" s="255"/>
      <c r="C181" s="244"/>
      <c r="D181" s="247"/>
      <c r="E181" s="205"/>
      <c r="F181" s="206"/>
      <c r="G181" s="264"/>
      <c r="H181" s="198"/>
    </row>
    <row r="182" spans="2:9" ht="27" customHeight="1" x14ac:dyDescent="0.25">
      <c r="B182" s="232"/>
      <c r="C182" s="177"/>
      <c r="D182" s="177"/>
      <c r="E182" s="221"/>
      <c r="F182" s="248"/>
      <c r="G182" s="178"/>
      <c r="H182" s="248"/>
      <c r="I182" s="185"/>
    </row>
    <row r="183" spans="2:9" ht="24.75" customHeight="1" x14ac:dyDescent="0.25">
      <c r="B183" s="232"/>
      <c r="C183" s="177"/>
      <c r="D183" s="177"/>
      <c r="E183" s="207"/>
      <c r="F183" s="206"/>
      <c r="G183" s="238"/>
      <c r="H183" s="248"/>
      <c r="I183" s="185"/>
    </row>
    <row r="184" spans="2:9" ht="24.75" customHeight="1" x14ac:dyDescent="0.25">
      <c r="B184" s="232"/>
      <c r="C184" s="177"/>
      <c r="D184" s="177"/>
      <c r="E184" s="234"/>
      <c r="F184" s="197"/>
      <c r="G184" s="238"/>
      <c r="H184" s="248"/>
      <c r="I184" s="185"/>
    </row>
    <row r="185" spans="2:9" ht="24.75" customHeight="1" x14ac:dyDescent="0.25">
      <c r="B185" s="232"/>
      <c r="C185" s="177"/>
      <c r="D185" s="177"/>
      <c r="E185" s="262"/>
      <c r="F185" s="208"/>
      <c r="G185" s="178"/>
      <c r="H185" s="248"/>
      <c r="I185" s="185"/>
    </row>
    <row r="186" spans="2:9" ht="11.25" customHeight="1" x14ac:dyDescent="0.25">
      <c r="B186" s="232"/>
      <c r="C186" s="177"/>
      <c r="D186" s="177"/>
      <c r="E186" s="207"/>
      <c r="F186" s="206"/>
      <c r="G186" s="178"/>
      <c r="H186" s="248"/>
      <c r="I186" s="185"/>
    </row>
    <row r="187" spans="2:9" ht="16.5" customHeight="1" x14ac:dyDescent="0.25">
      <c r="B187" s="232"/>
      <c r="C187" s="177"/>
      <c r="D187" s="177"/>
      <c r="E187" s="236"/>
      <c r="F187" s="206"/>
      <c r="G187" s="178"/>
      <c r="H187" s="248"/>
      <c r="I187" s="185"/>
    </row>
    <row r="188" spans="2:9" ht="12" customHeight="1" x14ac:dyDescent="0.25">
      <c r="B188" s="232"/>
      <c r="C188" s="177"/>
      <c r="D188" s="177"/>
      <c r="E188" s="236"/>
      <c r="F188" s="206"/>
      <c r="G188" s="178"/>
      <c r="H188" s="248"/>
      <c r="I188" s="185"/>
    </row>
    <row r="189" spans="2:9" ht="10.5" customHeight="1" x14ac:dyDescent="0.25">
      <c r="B189" s="232"/>
      <c r="C189" s="197"/>
      <c r="D189" s="177"/>
      <c r="E189" s="236"/>
      <c r="F189" s="265"/>
      <c r="G189" s="265"/>
      <c r="H189" s="248"/>
      <c r="I189" s="185"/>
    </row>
    <row r="190" spans="2:9" ht="20.25" customHeight="1" x14ac:dyDescent="0.25">
      <c r="B190" s="211" t="s">
        <v>491</v>
      </c>
      <c r="C190" s="212"/>
      <c r="D190" s="212"/>
      <c r="E190" s="266">
        <f>SUM(E180:E189)</f>
        <v>-1500000</v>
      </c>
      <c r="F190" s="251"/>
      <c r="G190" s="212">
        <f>SUM(G180:G183)</f>
        <v>0</v>
      </c>
      <c r="H190" s="198"/>
    </row>
    <row r="191" spans="2:9" x14ac:dyDescent="0.25">
      <c r="B191" s="232"/>
      <c r="C191" s="177"/>
      <c r="D191" s="244"/>
      <c r="E191" s="267">
        <v>-315000</v>
      </c>
      <c r="F191" s="248" t="s">
        <v>492</v>
      </c>
      <c r="G191" s="199"/>
      <c r="H191" s="197"/>
    </row>
    <row r="192" spans="2:9" ht="21.75" customHeight="1" x14ac:dyDescent="0.25">
      <c r="B192" s="232"/>
      <c r="C192" s="177"/>
      <c r="D192" s="244"/>
      <c r="E192" s="198"/>
      <c r="F192" s="197"/>
      <c r="G192" s="197"/>
      <c r="H192" s="197"/>
    </row>
    <row r="193" spans="2:8" x14ac:dyDescent="0.25">
      <c r="B193" s="232"/>
      <c r="C193" s="177"/>
      <c r="D193" s="244"/>
      <c r="E193" s="207"/>
      <c r="F193" s="206"/>
      <c r="G193" s="177"/>
      <c r="H193" s="197"/>
    </row>
    <row r="194" spans="2:8" x14ac:dyDescent="0.25">
      <c r="B194" s="232"/>
      <c r="C194" s="177"/>
      <c r="D194" s="244"/>
      <c r="E194" s="207"/>
      <c r="F194" s="206"/>
      <c r="G194" s="177"/>
      <c r="H194" s="197"/>
    </row>
    <row r="195" spans="2:8" x14ac:dyDescent="0.25">
      <c r="B195" s="232"/>
      <c r="C195" s="177"/>
      <c r="D195" s="244"/>
      <c r="E195" s="207"/>
      <c r="F195" s="206"/>
      <c r="G195" s="177"/>
      <c r="H195" s="197"/>
    </row>
    <row r="196" spans="2:8" ht="30" customHeight="1" x14ac:dyDescent="0.25">
      <c r="B196" s="232"/>
      <c r="C196" s="177"/>
      <c r="D196" s="244"/>
      <c r="E196" s="236"/>
      <c r="F196" s="206"/>
      <c r="G196" s="177"/>
      <c r="H196" s="197"/>
    </row>
    <row r="197" spans="2:8" ht="30" customHeight="1" x14ac:dyDescent="0.25">
      <c r="B197" s="232"/>
      <c r="C197" s="177"/>
      <c r="D197" s="244"/>
      <c r="E197" s="221"/>
      <c r="F197" s="248"/>
      <c r="G197" s="177"/>
      <c r="H197" s="197"/>
    </row>
    <row r="198" spans="2:8" ht="6.75" customHeight="1" x14ac:dyDescent="0.25">
      <c r="B198" s="232"/>
      <c r="C198" s="177"/>
      <c r="D198" s="244"/>
      <c r="E198" s="221"/>
      <c r="F198" s="248"/>
      <c r="G198" s="177"/>
      <c r="H198" s="197"/>
    </row>
    <row r="199" spans="2:8" ht="9" customHeight="1" x14ac:dyDescent="0.25">
      <c r="B199" s="232"/>
      <c r="C199" s="177"/>
      <c r="D199" s="244"/>
      <c r="E199" s="223"/>
      <c r="F199" s="259"/>
      <c r="G199" s="177"/>
      <c r="H199" s="197"/>
    </row>
    <row r="200" spans="2:8" x14ac:dyDescent="0.25">
      <c r="B200" s="211" t="s">
        <v>493</v>
      </c>
      <c r="C200" s="212"/>
      <c r="D200" s="212"/>
      <c r="E200" s="213">
        <f>SUM(E191:E199)</f>
        <v>-315000</v>
      </c>
      <c r="F200" s="251"/>
      <c r="G200" s="241">
        <f>SUM(G191:G199)</f>
        <v>0</v>
      </c>
      <c r="H200" s="198"/>
    </row>
    <row r="201" spans="2:8" x14ac:dyDescent="0.25">
      <c r="B201" s="227"/>
      <c r="C201" s="202"/>
      <c r="D201" s="198"/>
      <c r="E201" s="221"/>
      <c r="F201" s="248"/>
      <c r="G201" s="202"/>
      <c r="H201" s="197"/>
    </row>
    <row r="202" spans="2:8" x14ac:dyDescent="0.25">
      <c r="B202" s="211" t="s">
        <v>494</v>
      </c>
      <c r="C202" s="212"/>
      <c r="D202" s="212"/>
      <c r="E202" s="213">
        <f>SUM(E201:E201)</f>
        <v>0</v>
      </c>
      <c r="F202" s="251"/>
      <c r="G202" s="212">
        <f>SUM(G201)</f>
        <v>0</v>
      </c>
      <c r="H202" s="197"/>
    </row>
    <row r="203" spans="2:8" x14ac:dyDescent="0.25">
      <c r="B203" s="255"/>
      <c r="C203" s="178"/>
      <c r="D203" s="247"/>
      <c r="E203" s="223"/>
      <c r="F203" s="268"/>
      <c r="G203" s="178"/>
      <c r="H203" s="197"/>
    </row>
    <row r="204" spans="2:8" hidden="1" x14ac:dyDescent="0.25">
      <c r="B204" s="232"/>
      <c r="C204" s="177"/>
      <c r="D204" s="244"/>
      <c r="E204" s="223"/>
      <c r="F204" s="224"/>
      <c r="G204" s="177"/>
      <c r="H204" s="197"/>
    </row>
    <row r="205" spans="2:8" x14ac:dyDescent="0.25">
      <c r="B205" s="211" t="s">
        <v>495</v>
      </c>
      <c r="C205" s="212"/>
      <c r="D205" s="212"/>
      <c r="E205" s="213">
        <f>E204+E203</f>
        <v>0</v>
      </c>
      <c r="F205" s="251" t="s">
        <v>466</v>
      </c>
      <c r="G205" s="212" t="e">
        <f ca="1">SUM(G203:G205)</f>
        <v>#REF!</v>
      </c>
      <c r="H205" s="197"/>
    </row>
    <row r="206" spans="2:8" x14ac:dyDescent="0.25">
      <c r="B206" s="211"/>
      <c r="C206" s="212"/>
      <c r="D206" s="212"/>
      <c r="E206" s="213"/>
      <c r="F206" s="251"/>
      <c r="G206" s="212"/>
      <c r="H206" s="197"/>
    </row>
    <row r="207" spans="2:8" ht="24" x14ac:dyDescent="0.25">
      <c r="B207" s="269" t="s">
        <v>496</v>
      </c>
      <c r="C207" s="212"/>
      <c r="D207" s="270">
        <f>D86+D91+D96+D109+D130+D132+D164+D179+D190+D200+D202+D205</f>
        <v>0</v>
      </c>
      <c r="E207" s="271">
        <f>E200+E190+E179+E164+E130+E109+E96+E91+E86+E202+E205+E132</f>
        <v>-863130</v>
      </c>
      <c r="F207" s="269" t="s">
        <v>496</v>
      </c>
      <c r="G207" s="212">
        <f>G200+G190+G179+G164+G130+G109+G96+G91+G86</f>
        <v>0</v>
      </c>
      <c r="H207" s="272"/>
    </row>
    <row r="208" spans="2:8" x14ac:dyDescent="0.25">
      <c r="D208" s="273">
        <f>D86+D91+D96+D109+D130+D132+D164+D179+D190+D200+D202+D205</f>
        <v>0</v>
      </c>
      <c r="E208" s="274"/>
    </row>
    <row r="209" spans="3:7" x14ac:dyDescent="0.25">
      <c r="C209" s="275"/>
      <c r="D209" s="273"/>
      <c r="E209" s="274"/>
      <c r="G209" s="275"/>
    </row>
    <row r="210" spans="3:7" x14ac:dyDescent="0.25">
      <c r="C210" s="275"/>
      <c r="D210" s="273"/>
      <c r="E210" s="274"/>
      <c r="G210" s="275"/>
    </row>
    <row r="211" spans="3:7" x14ac:dyDescent="0.25">
      <c r="C211" s="273"/>
      <c r="G211" s="273"/>
    </row>
    <row r="213" spans="3:7" x14ac:dyDescent="0.25">
      <c r="E213" s="274"/>
    </row>
    <row r="214" spans="3:7" x14ac:dyDescent="0.25">
      <c r="E214" s="276"/>
    </row>
    <row r="215" spans="3:7" x14ac:dyDescent="0.25">
      <c r="E215" s="276"/>
    </row>
    <row r="216" spans="3:7" x14ac:dyDescent="0.25">
      <c r="E216" s="276"/>
    </row>
    <row r="217" spans="3:7" x14ac:dyDescent="0.25">
      <c r="E217" s="276"/>
      <c r="F217" s="185"/>
    </row>
    <row r="218" spans="3:7" x14ac:dyDescent="0.25">
      <c r="E218" s="276"/>
    </row>
    <row r="219" spans="3:7" x14ac:dyDescent="0.25">
      <c r="E219" s="276"/>
    </row>
    <row r="220" spans="3:7" x14ac:dyDescent="0.25">
      <c r="E220" s="276"/>
    </row>
    <row r="221" spans="3:7" x14ac:dyDescent="0.25">
      <c r="E221" s="276"/>
    </row>
    <row r="222" spans="3:7" x14ac:dyDescent="0.25">
      <c r="E222" s="276"/>
    </row>
    <row r="223" spans="3:7" x14ac:dyDescent="0.25">
      <c r="E223" s="276"/>
    </row>
  </sheetData>
  <mergeCells count="7">
    <mergeCell ref="C156:C157"/>
    <mergeCell ref="G156:G157"/>
    <mergeCell ref="B1:F1"/>
    <mergeCell ref="C2:D2"/>
    <mergeCell ref="I2:J2"/>
    <mergeCell ref="H57:H64"/>
    <mergeCell ref="H96:H97"/>
  </mergeCells>
  <pageMargins left="0" right="0" top="0.74803149606299213" bottom="0.74803149606299213" header="0.31496062992125984" footer="0.31496062992125984"/>
  <pageSetup paperSize="9" scale="74" fitToHeight="0" orientation="portrait" r:id="rId1"/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D4176907-10EA-4094-9A66-3ECE42E377DA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Приложение 2 к Протоколу</vt:lpstr>
      <vt:lpstr>доходы 24,25,26,27 сравнение</vt:lpstr>
      <vt:lpstr>Пояснит</vt:lpstr>
      <vt:lpstr>'доходы 24,25,26,27 сравнение'!Область_печати</vt:lpstr>
      <vt:lpstr>Пояснит!Область_печати</vt:lpstr>
      <vt:lpstr>'Приложение 2 к Протоколу'!Область_печати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NT AUTHORITY\СИСТЕМА</dc:creator>
  <cp:lastModifiedBy>Камалетдинова Светлана</cp:lastModifiedBy>
  <cp:revision>15</cp:revision>
  <cp:lastPrinted>2025-11-10T03:57:22Z</cp:lastPrinted>
  <dcterms:created xsi:type="dcterms:W3CDTF">2020-08-03T02:27:21Z</dcterms:created>
  <dcterms:modified xsi:type="dcterms:W3CDTF">2025-11-10T03:57:58Z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nso_pril1-2.xlsx</vt:lpwstr>
  </property>
  <property fmtid="{D5CDD505-2E9C-101B-9397-08002B2CF9AE}" pid="3" name="Название отчета">
    <vt:lpwstr>nso_pril1-2.xlsx</vt:lpwstr>
  </property>
  <property fmtid="{D5CDD505-2E9C-101B-9397-08002B2CF9AE}" pid="4" name="Версия клиента">
    <vt:lpwstr>19.2.3.32312</vt:lpwstr>
  </property>
  <property fmtid="{D5CDD505-2E9C-101B-9397-08002B2CF9AE}" pid="5" name="Версия базы">
    <vt:lpwstr>19.2.0.218629057</vt:lpwstr>
  </property>
  <property fmtid="{D5CDD505-2E9C-101B-9397-08002B2CF9AE}" pid="6" name="Тип сервера">
    <vt:lpwstr>MSSQL</vt:lpwstr>
  </property>
  <property fmtid="{D5CDD505-2E9C-101B-9397-08002B2CF9AE}" pid="7" name="Сервер">
    <vt:lpwstr>novsqlprimesvod\novsqlprimesvod</vt:lpwstr>
  </property>
  <property fmtid="{D5CDD505-2E9C-101B-9397-08002B2CF9AE}" pid="8" name="База">
    <vt:lpwstr>novsvod</vt:lpwstr>
  </property>
  <property fmtid="{D5CDD505-2E9C-101B-9397-08002B2CF9AE}" pid="9" name="Пользователь">
    <vt:lpwstr>20001023014</vt:lpwstr>
  </property>
  <property fmtid="{D5CDD505-2E9C-101B-9397-08002B2CF9AE}" pid="10" name="Шаблон">
    <vt:lpwstr>nso_pril1-2.xlt</vt:lpwstr>
  </property>
  <property fmtid="{D5CDD505-2E9C-101B-9397-08002B2CF9AE}" pid="11" name="Локальная база">
    <vt:lpwstr>не используется</vt:lpwstr>
  </property>
</Properties>
</file>